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5195" windowHeight="12345" firstSheet="2" activeTab="2"/>
  </bookViews>
  <sheets>
    <sheet name="T" sheetId="10" state="hidden" r:id="rId1"/>
    <sheet name="Settings" sheetId="9" state="hidden" r:id="rId2"/>
    <sheet name="Coopa del Mondo 2014" sheetId="8" r:id="rId3"/>
    <sheet name="Pronostici" sheetId="11" r:id="rId4"/>
    <sheet name="Classifica" sheetId="12" r:id="rId5"/>
  </sheets>
  <definedNames>
    <definedName name="db_fifarank">Settings!$B$15:$C$46</definedName>
    <definedName name="gmt_delta">Settings!$G$14</definedName>
    <definedName name="itype">Settings!$G$46</definedName>
    <definedName name="lang">Settings!$G$13</definedName>
    <definedName name="lang_list">T!$1:$1</definedName>
    <definedName name="_xlnm.Print_Area" localSheetId="2">'Coopa del Mondo 2014'!$A$1:$T$91</definedName>
    <definedName name="T">T!$1:$1048576</definedName>
  </definedNames>
  <calcPr calcId="144525"/>
</workbook>
</file>

<file path=xl/calcChain.xml><?xml version="1.0" encoding="utf-8"?>
<calcChain xmlns="http://schemas.openxmlformats.org/spreadsheetml/2006/main">
  <c r="C3" i="11" l="1"/>
  <c r="D5" i="11"/>
  <c r="D10" i="11" l="1"/>
  <c r="B1" i="12"/>
  <c r="B2" i="12"/>
  <c r="B4" i="12"/>
  <c r="B5" i="12"/>
  <c r="B3" i="12"/>
  <c r="G3" i="11" l="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2" i="11"/>
  <c r="C2" i="11"/>
  <c r="D3" i="11"/>
  <c r="D4" i="11"/>
  <c r="D6" i="11"/>
  <c r="D7" i="11"/>
  <c r="D8" i="11"/>
  <c r="D9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D2" i="11"/>
  <c r="V3" i="11" l="1"/>
  <c r="V2" i="11"/>
  <c r="P49" i="11"/>
  <c r="P45" i="11"/>
  <c r="J42" i="11"/>
  <c r="P41" i="11"/>
  <c r="P37" i="11"/>
  <c r="P33" i="11"/>
  <c r="J30" i="11"/>
  <c r="P29" i="11"/>
  <c r="P25" i="11"/>
  <c r="J22" i="11"/>
  <c r="P21" i="11"/>
  <c r="P17" i="11"/>
  <c r="P13" i="11"/>
  <c r="P9" i="11"/>
  <c r="J6" i="11"/>
  <c r="V49" i="11"/>
  <c r="S49" i="11"/>
  <c r="V48" i="11"/>
  <c r="V47" i="11"/>
  <c r="V46" i="11"/>
  <c r="P46" i="11"/>
  <c r="J46" i="11"/>
  <c r="S46" i="11"/>
  <c r="V45" i="11"/>
  <c r="S45" i="11"/>
  <c r="V44" i="11"/>
  <c r="V43" i="11"/>
  <c r="V42" i="11"/>
  <c r="P42" i="11"/>
  <c r="S42" i="11"/>
  <c r="V41" i="11"/>
  <c r="S41" i="11"/>
  <c r="V40" i="11"/>
  <c r="V39" i="11"/>
  <c r="V38" i="11"/>
  <c r="P38" i="11"/>
  <c r="S38" i="11"/>
  <c r="V37" i="11"/>
  <c r="S37" i="11"/>
  <c r="V36" i="11"/>
  <c r="V35" i="11"/>
  <c r="V34" i="11"/>
  <c r="P34" i="11"/>
  <c r="S34" i="11"/>
  <c r="V33" i="11"/>
  <c r="S33" i="11"/>
  <c r="V32" i="11"/>
  <c r="V31" i="11"/>
  <c r="V30" i="11"/>
  <c r="P30" i="11"/>
  <c r="S30" i="11"/>
  <c r="V29" i="11"/>
  <c r="S29" i="11"/>
  <c r="V28" i="11"/>
  <c r="V27" i="11"/>
  <c r="V26" i="11"/>
  <c r="P26" i="11"/>
  <c r="S26" i="11"/>
  <c r="V25" i="11"/>
  <c r="S25" i="11"/>
  <c r="V24" i="11"/>
  <c r="V23" i="11"/>
  <c r="V22" i="11"/>
  <c r="P22" i="11"/>
  <c r="S22" i="11"/>
  <c r="V21" i="11"/>
  <c r="S21" i="11"/>
  <c r="V20" i="11"/>
  <c r="V19" i="11"/>
  <c r="V18" i="11"/>
  <c r="P18" i="11"/>
  <c r="S18" i="11"/>
  <c r="V17" i="11"/>
  <c r="S17" i="11"/>
  <c r="V16" i="11"/>
  <c r="V15" i="11"/>
  <c r="V14" i="11"/>
  <c r="P14" i="11"/>
  <c r="S14" i="11"/>
  <c r="V13" i="11"/>
  <c r="S13" i="11"/>
  <c r="V12" i="11"/>
  <c r="V11" i="11"/>
  <c r="V10" i="11"/>
  <c r="P10" i="11"/>
  <c r="S10" i="11"/>
  <c r="V9" i="11"/>
  <c r="S9" i="11"/>
  <c r="V8" i="11"/>
  <c r="V7" i="11"/>
  <c r="V6" i="11"/>
  <c r="P6" i="11"/>
  <c r="S6" i="11"/>
  <c r="V5" i="11"/>
  <c r="V4" i="11"/>
  <c r="S5" i="11"/>
  <c r="P5" i="11"/>
  <c r="P2" i="11"/>
  <c r="S2" i="11"/>
  <c r="M40" i="11"/>
  <c r="M43" i="11"/>
  <c r="M35" i="11"/>
  <c r="M27" i="11"/>
  <c r="M19" i="11"/>
  <c r="M7" i="11"/>
  <c r="M46" i="11"/>
  <c r="M38" i="11"/>
  <c r="P48" i="11"/>
  <c r="P40" i="11"/>
  <c r="P36" i="11"/>
  <c r="P28" i="11"/>
  <c r="P20" i="11"/>
  <c r="P12" i="11"/>
  <c r="P8" i="11"/>
  <c r="S48" i="11"/>
  <c r="S40" i="11"/>
  <c r="S32" i="11"/>
  <c r="S28" i="11"/>
  <c r="S20" i="11"/>
  <c r="S16" i="11"/>
  <c r="S8" i="11"/>
  <c r="M49" i="11"/>
  <c r="M37" i="11"/>
  <c r="M29" i="11"/>
  <c r="M25" i="11"/>
  <c r="M21" i="11"/>
  <c r="M17" i="11"/>
  <c r="M13" i="11"/>
  <c r="M9" i="11"/>
  <c r="M5" i="11"/>
  <c r="P47" i="11"/>
  <c r="P43" i="11"/>
  <c r="P39" i="11"/>
  <c r="P35" i="11"/>
  <c r="P31" i="11"/>
  <c r="P27" i="11"/>
  <c r="P23" i="11"/>
  <c r="P19" i="11"/>
  <c r="P15" i="11"/>
  <c r="P11" i="11"/>
  <c r="P7" i="11"/>
  <c r="P3" i="11"/>
  <c r="S47" i="11"/>
  <c r="S43" i="11"/>
  <c r="S39" i="11"/>
  <c r="S35" i="11"/>
  <c r="S31" i="11"/>
  <c r="S27" i="11"/>
  <c r="S23" i="11"/>
  <c r="S19" i="11"/>
  <c r="S15" i="11"/>
  <c r="S11" i="11"/>
  <c r="S7" i="11"/>
  <c r="S3" i="11"/>
  <c r="M36" i="11"/>
  <c r="M32" i="11"/>
  <c r="M28" i="11"/>
  <c r="M24" i="11"/>
  <c r="M20" i="11"/>
  <c r="M16" i="11"/>
  <c r="M12" i="11"/>
  <c r="M8" i="11"/>
  <c r="M4" i="11"/>
  <c r="M3" i="11"/>
  <c r="M44" i="11"/>
  <c r="M31" i="11"/>
  <c r="M23" i="11"/>
  <c r="M15" i="11"/>
  <c r="M11" i="11"/>
  <c r="M10" i="11"/>
  <c r="M6" i="11"/>
  <c r="P44" i="11"/>
  <c r="P32" i="11"/>
  <c r="P24" i="11"/>
  <c r="P16" i="11"/>
  <c r="P4" i="11"/>
  <c r="S44" i="11"/>
  <c r="S36" i="11"/>
  <c r="S24" i="11"/>
  <c r="S12" i="11"/>
  <c r="S4" i="11"/>
  <c r="M48" i="11"/>
  <c r="M47" i="11"/>
  <c r="M45" i="11"/>
  <c r="M42" i="11"/>
  <c r="M41" i="11"/>
  <c r="M39" i="11"/>
  <c r="M34" i="11"/>
  <c r="M33" i="11"/>
  <c r="M30" i="11"/>
  <c r="M26" i="11"/>
  <c r="M22" i="11"/>
  <c r="M18" i="11"/>
  <c r="M14" i="11"/>
  <c r="M2" i="11"/>
  <c r="J5" i="11"/>
  <c r="J8" i="11"/>
  <c r="J38" i="11"/>
  <c r="J34" i="11"/>
  <c r="J33" i="11"/>
  <c r="J26" i="11"/>
  <c r="J25" i="11"/>
  <c r="J24" i="11"/>
  <c r="J21" i="11"/>
  <c r="J18" i="11"/>
  <c r="J14" i="11"/>
  <c r="J13" i="11"/>
  <c r="J10" i="11"/>
  <c r="J9" i="11"/>
  <c r="J2" i="11"/>
  <c r="J17" i="11"/>
  <c r="J29" i="11"/>
  <c r="J20" i="11"/>
  <c r="J16" i="11"/>
  <c r="J12" i="11"/>
  <c r="J4" i="11"/>
  <c r="J49" i="11"/>
  <c r="J45" i="11"/>
  <c r="J41" i="11"/>
  <c r="J37" i="11"/>
  <c r="J48" i="11"/>
  <c r="J44" i="11"/>
  <c r="J40" i="11"/>
  <c r="J36" i="11"/>
  <c r="J32" i="11"/>
  <c r="J28" i="11"/>
  <c r="J47" i="11"/>
  <c r="J43" i="11"/>
  <c r="J39" i="11"/>
  <c r="J35" i="11"/>
  <c r="J31" i="11"/>
  <c r="J27" i="11"/>
  <c r="J23" i="11"/>
  <c r="J19" i="11"/>
  <c r="J15" i="11"/>
  <c r="J11" i="11"/>
  <c r="J7" i="11"/>
  <c r="J3" i="11"/>
  <c r="V51" i="11" l="1"/>
  <c r="C1" i="12" s="1"/>
  <c r="S51" i="11"/>
  <c r="C2" i="12" s="1"/>
  <c r="M51" i="11"/>
  <c r="C5" i="12" s="1"/>
  <c r="P51" i="11"/>
  <c r="C4" i="12" s="1"/>
  <c r="J51" i="11"/>
  <c r="C3" i="12" s="1"/>
  <c r="R3" i="8" l="1"/>
  <c r="G14" i="9" l="1"/>
  <c r="U38" i="8" l="1"/>
  <c r="U36" i="8"/>
  <c r="U25" i="8"/>
  <c r="U37" i="8"/>
  <c r="U26" i="8"/>
  <c r="U14" i="8"/>
  <c r="U13" i="8"/>
  <c r="U12" i="8"/>
  <c r="U71" i="8"/>
  <c r="U69" i="8"/>
  <c r="U85" i="8"/>
  <c r="U72" i="8"/>
  <c r="U70" i="8"/>
  <c r="U76" i="8"/>
  <c r="U81" i="8"/>
  <c r="U77" i="8"/>
  <c r="G13" i="9"/>
  <c r="G46" i="9"/>
  <c r="B43" i="9" l="1"/>
  <c r="B39" i="9"/>
  <c r="B35" i="9"/>
  <c r="B31" i="9"/>
  <c r="B27" i="9"/>
  <c r="B23" i="9"/>
  <c r="B19" i="9"/>
  <c r="B15" i="9"/>
  <c r="B46" i="9"/>
  <c r="B42" i="9"/>
  <c r="B38" i="9"/>
  <c r="B34" i="9"/>
  <c r="B30" i="9"/>
  <c r="B26" i="9"/>
  <c r="B22" i="9"/>
  <c r="B18" i="9"/>
  <c r="B45" i="9"/>
  <c r="B41" i="9"/>
  <c r="B37" i="9"/>
  <c r="B33" i="9"/>
  <c r="B29" i="9"/>
  <c r="B25" i="9"/>
  <c r="B21" i="9"/>
  <c r="B17" i="9"/>
  <c r="B44" i="9"/>
  <c r="B40" i="9"/>
  <c r="B36" i="9"/>
  <c r="B32" i="9"/>
  <c r="B28" i="9"/>
  <c r="B24" i="9"/>
  <c r="B20" i="9"/>
  <c r="B16" i="9"/>
  <c r="I72" i="8"/>
  <c r="I73" i="8"/>
  <c r="M20" i="8"/>
  <c r="I44" i="8"/>
  <c r="I43" i="8"/>
  <c r="I40" i="8"/>
  <c r="I39" i="8"/>
  <c r="I37" i="8"/>
  <c r="I35" i="8"/>
  <c r="I25" i="8"/>
  <c r="I23" i="8"/>
  <c r="I19" i="8"/>
  <c r="I88" i="8"/>
  <c r="I80" i="8"/>
  <c r="I74" i="8"/>
  <c r="I67" i="8"/>
  <c r="I64" i="8"/>
  <c r="I61" i="8"/>
  <c r="I53" i="8"/>
  <c r="I51" i="8"/>
  <c r="I49" i="8"/>
  <c r="I47" i="8"/>
  <c r="I32" i="8"/>
  <c r="I30" i="8"/>
  <c r="I28" i="8"/>
  <c r="I26" i="8"/>
  <c r="I20" i="8"/>
  <c r="I16" i="8"/>
  <c r="I14" i="8"/>
  <c r="I12" i="8"/>
  <c r="I9" i="8"/>
  <c r="I8" i="8"/>
  <c r="I46" i="8"/>
  <c r="I45" i="8"/>
  <c r="I42" i="8"/>
  <c r="I41" i="8"/>
  <c r="I38" i="8"/>
  <c r="I36" i="8"/>
  <c r="I34" i="8"/>
  <c r="I24" i="8"/>
  <c r="I22" i="8"/>
  <c r="I18" i="8"/>
  <c r="I84" i="8"/>
  <c r="I75" i="8"/>
  <c r="I68" i="8"/>
  <c r="I66" i="8"/>
  <c r="I62" i="8"/>
  <c r="I54" i="8"/>
  <c r="I52" i="8"/>
  <c r="I50" i="8"/>
  <c r="I48" i="8"/>
  <c r="I33" i="8"/>
  <c r="I31" i="8"/>
  <c r="I29" i="8"/>
  <c r="I27" i="8"/>
  <c r="I21" i="8"/>
  <c r="I17" i="8"/>
  <c r="I15" i="8"/>
  <c r="I13" i="8"/>
  <c r="I11" i="8"/>
  <c r="I10" i="8"/>
  <c r="I7" i="8"/>
  <c r="Q32" i="8"/>
  <c r="S38" i="8"/>
  <c r="P32" i="8"/>
  <c r="U65" i="8"/>
  <c r="D68" i="8" s="1"/>
  <c r="U63" i="8"/>
  <c r="U61" i="8"/>
  <c r="D64" i="8" s="1"/>
  <c r="U59" i="8"/>
  <c r="U54" i="8"/>
  <c r="U52" i="8"/>
  <c r="U50" i="8"/>
  <c r="U48" i="8"/>
  <c r="U46" i="8"/>
  <c r="U44" i="8"/>
  <c r="U42" i="8"/>
  <c r="U40" i="8"/>
  <c r="U35" i="8"/>
  <c r="U33" i="8"/>
  <c r="U31" i="8"/>
  <c r="U29" i="8"/>
  <c r="U27" i="8"/>
  <c r="U23" i="8"/>
  <c r="U21" i="8"/>
  <c r="U19" i="8"/>
  <c r="U17" i="8"/>
  <c r="U15" i="8"/>
  <c r="U64" i="8"/>
  <c r="U62" i="8"/>
  <c r="U60" i="8"/>
  <c r="U58" i="8"/>
  <c r="C61" i="8" s="1"/>
  <c r="U53" i="8"/>
  <c r="U51" i="8"/>
  <c r="U49" i="8"/>
  <c r="U47" i="8"/>
  <c r="U45" i="8"/>
  <c r="U43" i="8"/>
  <c r="U41" i="8"/>
  <c r="U39" i="8"/>
  <c r="D39" i="8" s="1"/>
  <c r="U34" i="8"/>
  <c r="D34" i="8" s="1"/>
  <c r="U32" i="8"/>
  <c r="U30" i="8"/>
  <c r="U28" i="8"/>
  <c r="U24" i="8"/>
  <c r="U22" i="8"/>
  <c r="U20" i="8"/>
  <c r="U18" i="8"/>
  <c r="U16" i="8"/>
  <c r="B32" i="8"/>
  <c r="D67" i="8"/>
  <c r="D26" i="8"/>
  <c r="B33" i="8"/>
  <c r="C88" i="8"/>
  <c r="B88" i="8"/>
  <c r="D88" i="8"/>
  <c r="D72" i="8"/>
  <c r="C14" i="8"/>
  <c r="U10" i="8"/>
  <c r="U8" i="8"/>
  <c r="C8" i="8" s="1"/>
  <c r="U11" i="8"/>
  <c r="U9" i="8"/>
  <c r="D33" i="8"/>
  <c r="B67" i="8"/>
  <c r="D41" i="8"/>
  <c r="D37" i="8"/>
  <c r="U7" i="8"/>
  <c r="D7" i="8" s="1"/>
  <c r="C36" i="8"/>
  <c r="C53" i="8"/>
  <c r="D61" i="8"/>
  <c r="Q26" i="8"/>
  <c r="P8" i="8"/>
  <c r="B25" i="8"/>
  <c r="B23" i="8"/>
  <c r="C32" i="8"/>
  <c r="C33" i="8"/>
  <c r="C67" i="8"/>
  <c r="B68" i="8"/>
  <c r="M26" i="8"/>
  <c r="R26" i="8"/>
  <c r="N32" i="8"/>
  <c r="S44" i="8"/>
  <c r="A70" i="8"/>
  <c r="AC9" i="8"/>
  <c r="H7" i="8" s="1"/>
  <c r="AC50" i="8"/>
  <c r="AC39" i="8"/>
  <c r="E48" i="8" s="1"/>
  <c r="V48" i="8" s="1"/>
  <c r="AC27" i="8"/>
  <c r="E44" i="8" s="1"/>
  <c r="AC52" i="8"/>
  <c r="H54" i="8" s="1"/>
  <c r="AC40" i="8"/>
  <c r="AC33" i="8"/>
  <c r="E50" i="8" s="1"/>
  <c r="V50" i="8" s="1"/>
  <c r="AC20" i="8"/>
  <c r="A82" i="8"/>
  <c r="I65" i="8"/>
  <c r="N20" i="8"/>
  <c r="S32" i="8"/>
  <c r="R8" i="8"/>
  <c r="O44" i="8"/>
  <c r="M14" i="8"/>
  <c r="AC53" i="8"/>
  <c r="AC47" i="8"/>
  <c r="AC45" i="8"/>
  <c r="E52" i="8" s="1"/>
  <c r="V52" i="8" s="1"/>
  <c r="AC41" i="8"/>
  <c r="AC35" i="8"/>
  <c r="H16" i="8" s="1"/>
  <c r="AC32" i="8"/>
  <c r="AC28" i="8"/>
  <c r="AC23" i="8"/>
  <c r="AC21" i="8"/>
  <c r="H11" i="8" s="1"/>
  <c r="AC16" i="8"/>
  <c r="H40" i="8" s="1"/>
  <c r="AC14" i="8"/>
  <c r="E9" i="8" s="1"/>
  <c r="V9" i="8" s="1"/>
  <c r="AC51" i="8"/>
  <c r="AC46" i="8"/>
  <c r="AC44" i="8"/>
  <c r="H51" i="8" s="1"/>
  <c r="AC38" i="8"/>
  <c r="E33" i="8" s="1"/>
  <c r="AC34" i="8"/>
  <c r="H50" i="8" s="1"/>
  <c r="AC29" i="8"/>
  <c r="E43" i="8" s="1"/>
  <c r="AC26" i="8"/>
  <c r="AC22" i="8"/>
  <c r="AC17" i="8"/>
  <c r="AC15" i="8"/>
  <c r="I63" i="8"/>
  <c r="N38" i="8"/>
  <c r="P14" i="8"/>
  <c r="M44" i="8"/>
  <c r="O8" i="8"/>
  <c r="Q38" i="8"/>
  <c r="N44" i="8"/>
  <c r="M8" i="8"/>
  <c r="N26" i="8"/>
  <c r="P50" i="8"/>
  <c r="Q14" i="8"/>
  <c r="N50" i="8"/>
  <c r="R38" i="8"/>
  <c r="S14" i="8"/>
  <c r="P38" i="8"/>
  <c r="I79" i="8"/>
  <c r="R50" i="8"/>
  <c r="M50" i="8"/>
  <c r="A77" i="8"/>
  <c r="R14" i="8"/>
  <c r="O50" i="8"/>
  <c r="Q8" i="8"/>
  <c r="M32" i="8"/>
  <c r="O26" i="8"/>
  <c r="R44" i="8"/>
  <c r="Q20" i="8"/>
  <c r="O32" i="8"/>
  <c r="P20" i="8"/>
  <c r="Q50" i="8"/>
  <c r="A59" i="8"/>
  <c r="A90" i="8"/>
  <c r="S8" i="8"/>
  <c r="S26" i="8"/>
  <c r="M38" i="8"/>
  <c r="P26" i="8"/>
  <c r="N14" i="8"/>
  <c r="N8" i="8"/>
  <c r="R20" i="8"/>
  <c r="A5" i="8"/>
  <c r="S20" i="8"/>
  <c r="E30" i="8"/>
  <c r="V30" i="8" s="1"/>
  <c r="A86" i="8"/>
  <c r="O38" i="8"/>
  <c r="S50" i="8"/>
  <c r="R32" i="8"/>
  <c r="P44" i="8"/>
  <c r="Q44" i="8"/>
  <c r="O20" i="8"/>
  <c r="O14" i="8"/>
  <c r="AC10" i="8"/>
  <c r="A1" i="8"/>
  <c r="AC11" i="8"/>
  <c r="AC8" i="8"/>
  <c r="H52" i="8"/>
  <c r="V44" i="8"/>
  <c r="H30" i="8"/>
  <c r="E11" i="8"/>
  <c r="V11" i="8" s="1"/>
  <c r="H47" i="8"/>
  <c r="E14" i="8"/>
  <c r="V14" i="8" s="1"/>
  <c r="V33" i="8"/>
  <c r="H53" i="8"/>
  <c r="E12" i="8"/>
  <c r="H14" i="8" l="1"/>
  <c r="AN20" i="8"/>
  <c r="AN40" i="8"/>
  <c r="AN47" i="8"/>
  <c r="AN34" i="8"/>
  <c r="E17" i="8"/>
  <c r="V17" i="8" s="1"/>
  <c r="H13" i="8"/>
  <c r="AN23" i="8"/>
  <c r="AN41" i="8"/>
  <c r="AN35" i="8"/>
  <c r="AN53" i="8"/>
  <c r="H15" i="8"/>
  <c r="E16" i="8"/>
  <c r="V16" i="8" s="1"/>
  <c r="W16" i="8" s="1"/>
  <c r="AN44" i="8"/>
  <c r="H12" i="8"/>
  <c r="AN21" i="8"/>
  <c r="AN28" i="8"/>
  <c r="AN15" i="8"/>
  <c r="AN10" i="8"/>
  <c r="AN29" i="8"/>
  <c r="H31" i="8"/>
  <c r="AN8" i="8"/>
  <c r="E22" i="8"/>
  <c r="V22" i="8" s="1"/>
  <c r="H41" i="8"/>
  <c r="H24" i="8"/>
  <c r="E40" i="8"/>
  <c r="V40" i="8" s="1"/>
  <c r="W40" i="8" s="1"/>
  <c r="H27" i="8"/>
  <c r="H46" i="8"/>
  <c r="E20" i="8"/>
  <c r="V20" i="8" s="1"/>
  <c r="H34" i="8"/>
  <c r="E26" i="8"/>
  <c r="V26" i="8" s="1"/>
  <c r="H39" i="8"/>
  <c r="H29" i="8"/>
  <c r="E46" i="8"/>
  <c r="V46" i="8" s="1"/>
  <c r="H44" i="8"/>
  <c r="H28" i="8"/>
  <c r="E32" i="8"/>
  <c r="V32" i="8" s="1"/>
  <c r="E49" i="8"/>
  <c r="V49" i="8" s="1"/>
  <c r="H37" i="8"/>
  <c r="H18" i="8"/>
  <c r="E36" i="8"/>
  <c r="V36" i="8" s="1"/>
  <c r="H23" i="8"/>
  <c r="H45" i="8"/>
  <c r="E27" i="8"/>
  <c r="V27" i="8" s="1"/>
  <c r="E19" i="8"/>
  <c r="V19" i="8" s="1"/>
  <c r="H33" i="8"/>
  <c r="E21" i="8"/>
  <c r="V21" i="8" s="1"/>
  <c r="E38" i="8"/>
  <c r="V38" i="8" s="1"/>
  <c r="W44" i="8"/>
  <c r="E41" i="8"/>
  <c r="V41" i="8" s="1"/>
  <c r="E25" i="8"/>
  <c r="H22" i="8"/>
  <c r="H42" i="8"/>
  <c r="E39" i="8"/>
  <c r="V39" i="8" s="1"/>
  <c r="W39" i="8" s="1"/>
  <c r="E24" i="8"/>
  <c r="H43" i="8"/>
  <c r="E28" i="8"/>
  <c r="V28" i="8" s="1"/>
  <c r="E18" i="8"/>
  <c r="E34" i="8"/>
  <c r="V34" i="8" s="1"/>
  <c r="H36" i="8"/>
  <c r="H21" i="8"/>
  <c r="E45" i="8"/>
  <c r="V45" i="8" s="1"/>
  <c r="E29" i="8"/>
  <c r="V29" i="8" s="1"/>
  <c r="W29" i="8" s="1"/>
  <c r="E31" i="8"/>
  <c r="V31" i="8" s="1"/>
  <c r="H49" i="8"/>
  <c r="E35" i="8"/>
  <c r="V35" i="8" s="1"/>
  <c r="H19" i="8"/>
  <c r="E37" i="8"/>
  <c r="V37" i="8" s="1"/>
  <c r="H20" i="8"/>
  <c r="H38" i="8"/>
  <c r="E23" i="8"/>
  <c r="H17" i="8"/>
  <c r="H35" i="8"/>
  <c r="E42" i="8"/>
  <c r="V42" i="8" s="1"/>
  <c r="W42" i="8" s="1"/>
  <c r="H25" i="8"/>
  <c r="C39" i="8"/>
  <c r="C68" i="8"/>
  <c r="D32" i="8"/>
  <c r="C26" i="8"/>
  <c r="B26" i="8"/>
  <c r="C23" i="8"/>
  <c r="D23" i="8"/>
  <c r="D79" i="8"/>
  <c r="C79" i="8"/>
  <c r="B79" i="8"/>
  <c r="B64" i="8"/>
  <c r="C64" i="8"/>
  <c r="B51" i="8"/>
  <c r="C51" i="8"/>
  <c r="D51" i="8"/>
  <c r="B41" i="8"/>
  <c r="C41" i="8"/>
  <c r="C72" i="8"/>
  <c r="B72" i="8"/>
  <c r="B84" i="8"/>
  <c r="C84" i="8"/>
  <c r="D84" i="8"/>
  <c r="C54" i="8"/>
  <c r="D54" i="8"/>
  <c r="B54" i="8"/>
  <c r="C66" i="8"/>
  <c r="D66" i="8"/>
  <c r="B66" i="8"/>
  <c r="C37" i="8"/>
  <c r="B37" i="8"/>
  <c r="D30" i="8"/>
  <c r="B30" i="8"/>
  <c r="C30" i="8"/>
  <c r="D21" i="8"/>
  <c r="C21" i="8"/>
  <c r="B21" i="8"/>
  <c r="C45" i="8"/>
  <c r="D45" i="8"/>
  <c r="B45" i="8"/>
  <c r="B48" i="8"/>
  <c r="D48" i="8"/>
  <c r="C48" i="8"/>
  <c r="C43" i="8"/>
  <c r="D43" i="8"/>
  <c r="B43" i="8"/>
  <c r="C63" i="8"/>
  <c r="D63" i="8"/>
  <c r="B63" i="8"/>
  <c r="D19" i="8"/>
  <c r="B19" i="8"/>
  <c r="C19" i="8"/>
  <c r="B10" i="8"/>
  <c r="C10" i="8"/>
  <c r="D10" i="8"/>
  <c r="B7" i="8"/>
  <c r="C7" i="8"/>
  <c r="B39" i="8"/>
  <c r="B22" i="8"/>
  <c r="D22" i="8"/>
  <c r="C22" i="8"/>
  <c r="C17" i="8"/>
  <c r="D17" i="8"/>
  <c r="B17" i="8"/>
  <c r="C44" i="8"/>
  <c r="D44" i="8"/>
  <c r="B44" i="8"/>
  <c r="B12" i="8"/>
  <c r="C12" i="8"/>
  <c r="D12" i="8"/>
  <c r="D75" i="8"/>
  <c r="C75" i="8"/>
  <c r="B75" i="8"/>
  <c r="C40" i="8"/>
  <c r="B40" i="8"/>
  <c r="D40" i="8"/>
  <c r="B73" i="8"/>
  <c r="C73" i="8"/>
  <c r="D73" i="8"/>
  <c r="B61" i="8"/>
  <c r="C34" i="8"/>
  <c r="B34" i="8"/>
  <c r="D47" i="8"/>
  <c r="C47" i="8"/>
  <c r="B47" i="8"/>
  <c r="D38" i="8"/>
  <c r="B38" i="8"/>
  <c r="C38" i="8"/>
  <c r="B80" i="8"/>
  <c r="D80" i="8"/>
  <c r="C80" i="8"/>
  <c r="B62" i="8"/>
  <c r="D62" i="8"/>
  <c r="C62" i="8"/>
  <c r="D50" i="8"/>
  <c r="C50" i="8"/>
  <c r="B50" i="8"/>
  <c r="B24" i="8"/>
  <c r="C24" i="8"/>
  <c r="D24" i="8"/>
  <c r="B42" i="8"/>
  <c r="D42" i="8"/>
  <c r="C42" i="8"/>
  <c r="B11" i="8"/>
  <c r="D11" i="8"/>
  <c r="C11" i="8"/>
  <c r="B18" i="8"/>
  <c r="C18" i="8"/>
  <c r="D18" i="8"/>
  <c r="C27" i="8"/>
  <c r="D27" i="8"/>
  <c r="B27" i="8"/>
  <c r="D15" i="8"/>
  <c r="B15" i="8"/>
  <c r="C15" i="8"/>
  <c r="C20" i="8"/>
  <c r="D20" i="8"/>
  <c r="B20" i="8"/>
  <c r="B16" i="8"/>
  <c r="D16" i="8"/>
  <c r="C16" i="8"/>
  <c r="C74" i="8"/>
  <c r="B74" i="8"/>
  <c r="D74" i="8"/>
  <c r="B53" i="8"/>
  <c r="D53" i="8"/>
  <c r="D36" i="8"/>
  <c r="B36" i="8"/>
  <c r="D8" i="8"/>
  <c r="B8" i="8"/>
  <c r="C49" i="8"/>
  <c r="B49" i="8"/>
  <c r="D49" i="8"/>
  <c r="B29" i="8"/>
  <c r="C29" i="8"/>
  <c r="D29" i="8"/>
  <c r="C31" i="8"/>
  <c r="D31" i="8"/>
  <c r="B31" i="8"/>
  <c r="C46" i="8"/>
  <c r="D46" i="8"/>
  <c r="B46" i="8"/>
  <c r="D28" i="8"/>
  <c r="B28" i="8"/>
  <c r="C28" i="8"/>
  <c r="C65" i="8"/>
  <c r="B65" i="8"/>
  <c r="D65" i="8"/>
  <c r="C52" i="8"/>
  <c r="D52" i="8"/>
  <c r="B52" i="8"/>
  <c r="C35" i="8"/>
  <c r="D35" i="8"/>
  <c r="B35" i="8"/>
  <c r="B13" i="8"/>
  <c r="C13" i="8"/>
  <c r="D13" i="8"/>
  <c r="D9" i="8"/>
  <c r="B9" i="8"/>
  <c r="C9" i="8"/>
  <c r="B14" i="8"/>
  <c r="D14" i="8"/>
  <c r="C25" i="8"/>
  <c r="D25" i="8"/>
  <c r="E54" i="8"/>
  <c r="V54" i="8" s="1"/>
  <c r="W54" i="8" s="1"/>
  <c r="W50" i="8"/>
  <c r="E7" i="8"/>
  <c r="V7" i="8" s="1"/>
  <c r="W7" i="8" s="1"/>
  <c r="E15" i="8"/>
  <c r="V15" i="8" s="1"/>
  <c r="W15" i="8" s="1"/>
  <c r="H48" i="8"/>
  <c r="W48" i="8" s="1"/>
  <c r="V18" i="8"/>
  <c r="W18" i="8" s="1"/>
  <c r="W46" i="8"/>
  <c r="W52" i="8"/>
  <c r="W30" i="8"/>
  <c r="AN9" i="8"/>
  <c r="H26" i="8"/>
  <c r="E10" i="8"/>
  <c r="V10" i="8" s="1"/>
  <c r="H32" i="8"/>
  <c r="E13" i="8"/>
  <c r="V13" i="8" s="1"/>
  <c r="W13" i="8" s="1"/>
  <c r="E47" i="8"/>
  <c r="V47" i="8" s="1"/>
  <c r="W47" i="8" s="1"/>
  <c r="AN38" i="8"/>
  <c r="V25" i="8"/>
  <c r="AN52" i="8"/>
  <c r="AN51" i="8"/>
  <c r="AN39" i="8"/>
  <c r="AN22" i="8"/>
  <c r="AN32" i="8"/>
  <c r="AN33" i="8"/>
  <c r="AN17" i="8"/>
  <c r="W11" i="8"/>
  <c r="AN50" i="8"/>
  <c r="AN14" i="8"/>
  <c r="AN45" i="8"/>
  <c r="H10" i="8"/>
  <c r="AN26" i="8"/>
  <c r="H9" i="8"/>
  <c r="W9" i="8" s="1"/>
  <c r="V43" i="8"/>
  <c r="W43" i="8" s="1"/>
  <c r="E51" i="8"/>
  <c r="V51" i="8" s="1"/>
  <c r="W51" i="8" s="1"/>
  <c r="E53" i="8"/>
  <c r="V53" i="8" s="1"/>
  <c r="W53" i="8" s="1"/>
  <c r="H8" i="8"/>
  <c r="V24" i="8"/>
  <c r="W24" i="8" s="1"/>
  <c r="E8" i="8"/>
  <c r="V8" i="8" s="1"/>
  <c r="AN11" i="8"/>
  <c r="V23" i="8"/>
  <c r="W23" i="8" s="1"/>
  <c r="AN16" i="8"/>
  <c r="AN46" i="8"/>
  <c r="AN27" i="8"/>
  <c r="W14" i="8"/>
  <c r="W33" i="8"/>
  <c r="V12" i="8"/>
  <c r="W12" i="8" s="1"/>
  <c r="W17" i="8" l="1"/>
  <c r="W31" i="8"/>
  <c r="W45" i="8"/>
  <c r="W27" i="8"/>
  <c r="W28" i="8"/>
  <c r="W49" i="8"/>
  <c r="W34" i="8"/>
  <c r="W25" i="8"/>
  <c r="W21" i="8"/>
  <c r="AG47" i="8"/>
  <c r="AH8" i="8"/>
  <c r="AH15" i="8"/>
  <c r="AG40" i="8"/>
  <c r="W10" i="8"/>
  <c r="W32" i="8"/>
  <c r="W26" i="8"/>
  <c r="W37" i="8"/>
  <c r="W8" i="8"/>
  <c r="W35" i="8"/>
  <c r="W19" i="8"/>
  <c r="W38" i="8"/>
  <c r="W22" i="8"/>
  <c r="W36" i="8"/>
  <c r="W20" i="8"/>
  <c r="AH39" i="8"/>
  <c r="AG15" i="8"/>
  <c r="AH50" i="8"/>
  <c r="AH53" i="8"/>
  <c r="AG21" i="8"/>
  <c r="AG8" i="8"/>
  <c r="AG46" i="8"/>
  <c r="AG14" i="8"/>
  <c r="AH20" i="8"/>
  <c r="AH27" i="8"/>
  <c r="AH16" i="8"/>
  <c r="AH52" i="8"/>
  <c r="AH10" i="8"/>
  <c r="AH28" i="8"/>
  <c r="AG28" i="8"/>
  <c r="AG11" i="8"/>
  <c r="AG53" i="8"/>
  <c r="AH32" i="8"/>
  <c r="AG9" i="8"/>
  <c r="AH23" i="8"/>
  <c r="AG10" i="8"/>
  <c r="AI10" i="8" s="1"/>
  <c r="AH29" i="8"/>
  <c r="AH11" i="8"/>
  <c r="AH46" i="8"/>
  <c r="AH21" i="8"/>
  <c r="AJ21" i="8" s="1"/>
  <c r="AG27" i="8"/>
  <c r="AJ27" i="8" s="1"/>
  <c r="AG52" i="8"/>
  <c r="AH40" i="8"/>
  <c r="AG17" i="8"/>
  <c r="AH14" i="8"/>
  <c r="AG41" i="8"/>
  <c r="AG16" i="8"/>
  <c r="AH45" i="8"/>
  <c r="AG50" i="8"/>
  <c r="AG51" i="8"/>
  <c r="AG20" i="8"/>
  <c r="AH51" i="8"/>
  <c r="AG44" i="8"/>
  <c r="AH9" i="8"/>
  <c r="AH17" i="8"/>
  <c r="AG45" i="8"/>
  <c r="AH44" i="8"/>
  <c r="AG33" i="8"/>
  <c r="AG23" i="8"/>
  <c r="AJ23" i="8" s="1"/>
  <c r="AH35" i="8"/>
  <c r="AG39" i="8"/>
  <c r="AH33" i="8"/>
  <c r="AH34" i="8"/>
  <c r="AG34" i="8"/>
  <c r="AH26" i="8"/>
  <c r="AH30" i="8" s="1"/>
  <c r="AG29" i="8"/>
  <c r="AG32" i="8"/>
  <c r="AH41" i="8"/>
  <c r="AG26" i="8"/>
  <c r="W41" i="8"/>
  <c r="AG35" i="8"/>
  <c r="AH22" i="8"/>
  <c r="AG38" i="8"/>
  <c r="AG22" i="8"/>
  <c r="AH47" i="8"/>
  <c r="AJ47" i="8" s="1"/>
  <c r="AH38" i="8"/>
  <c r="AJ32" i="8" l="1"/>
  <c r="AJ45" i="8"/>
  <c r="AF35" i="8"/>
  <c r="AH12" i="8"/>
  <c r="AJ41" i="8"/>
  <c r="AJ15" i="8"/>
  <c r="AJ26" i="8"/>
  <c r="AE29" i="8"/>
  <c r="AJ22" i="8"/>
  <c r="AD20" i="8"/>
  <c r="AF44" i="8"/>
  <c r="AF14" i="8"/>
  <c r="AD44" i="8"/>
  <c r="AE27" i="8"/>
  <c r="AJ35" i="8"/>
  <c r="AD51" i="8"/>
  <c r="AD23" i="8"/>
  <c r="AE45" i="8"/>
  <c r="AE33" i="8"/>
  <c r="AE38" i="8"/>
  <c r="AD22" i="8"/>
  <c r="AJ40" i="8"/>
  <c r="AD15" i="8"/>
  <c r="AF45" i="8"/>
  <c r="AE20" i="8"/>
  <c r="AD50" i="8"/>
  <c r="AE15" i="8"/>
  <c r="AL15" i="8" s="1"/>
  <c r="AI15" i="8" s="1"/>
  <c r="AE34" i="8"/>
  <c r="AE46" i="8"/>
  <c r="AE26" i="8"/>
  <c r="AD17" i="8"/>
  <c r="AE35" i="8"/>
  <c r="AF38" i="8"/>
  <c r="AI8" i="8"/>
  <c r="AJ10" i="8"/>
  <c r="AJ39" i="8"/>
  <c r="AJ20" i="8"/>
  <c r="AJ25" i="8" s="1"/>
  <c r="AJ24" i="8" s="1"/>
  <c r="AK22" i="8" s="1"/>
  <c r="AJ50" i="8"/>
  <c r="AJ46" i="8"/>
  <c r="AF11" i="8"/>
  <c r="AD46" i="8"/>
  <c r="AL46" i="8" s="1"/>
  <c r="AI46" i="8" s="1"/>
  <c r="AF29" i="8"/>
  <c r="AE53" i="8"/>
  <c r="AF39" i="8"/>
  <c r="AD28" i="8"/>
  <c r="AE32" i="8"/>
  <c r="AD29" i="8"/>
  <c r="AF53" i="8"/>
  <c r="AD32" i="8"/>
  <c r="AF46" i="8"/>
  <c r="AF41" i="8"/>
  <c r="AD47" i="8"/>
  <c r="AE9" i="8"/>
  <c r="AF51" i="8"/>
  <c r="AD8" i="8"/>
  <c r="AD9" i="8"/>
  <c r="AF47" i="8"/>
  <c r="AF32" i="8"/>
  <c r="AF15" i="8"/>
  <c r="AE11" i="8"/>
  <c r="AE21" i="8"/>
  <c r="AF33" i="8"/>
  <c r="AJ51" i="8"/>
  <c r="AJ14" i="8"/>
  <c r="AJ8" i="8"/>
  <c r="AH18" i="8"/>
  <c r="AJ28" i="8"/>
  <c r="AJ53" i="8"/>
  <c r="AH54" i="8"/>
  <c r="AJ52" i="8"/>
  <c r="AJ11" i="8"/>
  <c r="AJ34" i="8"/>
  <c r="AI9" i="8"/>
  <c r="AG12" i="8"/>
  <c r="AI11" i="8"/>
  <c r="X8" i="8" s="1"/>
  <c r="Y8" i="8" s="1"/>
  <c r="AF27" i="8"/>
  <c r="AG36" i="8"/>
  <c r="AH42" i="8"/>
  <c r="AH24" i="8"/>
  <c r="AJ17" i="8"/>
  <c r="AG18" i="8"/>
  <c r="AH48" i="8"/>
  <c r="AJ44" i="8"/>
  <c r="AG54" i="8"/>
  <c r="AJ16" i="8"/>
  <c r="AG24" i="8"/>
  <c r="AG42" i="8"/>
  <c r="AG48" i="8"/>
  <c r="AG30" i="8"/>
  <c r="AH36" i="8"/>
  <c r="AE17" i="8"/>
  <c r="AD39" i="8"/>
  <c r="AJ9" i="8"/>
  <c r="AJ29" i="8"/>
  <c r="AD35" i="8"/>
  <c r="AF50" i="8"/>
  <c r="AF8" i="8"/>
  <c r="AD40" i="8"/>
  <c r="AE51" i="8"/>
  <c r="AD11" i="8"/>
  <c r="AD27" i="8"/>
  <c r="AE47" i="8"/>
  <c r="AF52" i="8"/>
  <c r="AD45" i="8"/>
  <c r="AD16" i="8"/>
  <c r="AF20" i="8"/>
  <c r="AF34" i="8"/>
  <c r="AD10" i="8"/>
  <c r="AE52" i="8"/>
  <c r="AE40" i="8"/>
  <c r="AE28" i="8"/>
  <c r="AE39" i="8"/>
  <c r="AD41" i="8"/>
  <c r="AD26" i="8"/>
  <c r="AL26" i="8" s="1"/>
  <c r="AI26" i="8" s="1"/>
  <c r="AE50" i="8"/>
  <c r="AF9" i="8"/>
  <c r="AF28" i="8"/>
  <c r="AF40" i="8"/>
  <c r="AD52" i="8"/>
  <c r="AD33" i="8"/>
  <c r="AD14" i="8"/>
  <c r="AF21" i="8"/>
  <c r="AE22" i="8"/>
  <c r="AF17" i="8"/>
  <c r="AF23" i="8"/>
  <c r="AE10" i="8"/>
  <c r="AF16" i="8"/>
  <c r="AD34" i="8"/>
  <c r="AL34" i="8" s="1"/>
  <c r="AI34" i="8" s="1"/>
  <c r="AD38" i="8"/>
  <c r="AE16" i="8"/>
  <c r="AE8" i="8"/>
  <c r="AF22" i="8"/>
  <c r="AD53" i="8"/>
  <c r="AE23" i="8"/>
  <c r="AE14" i="8"/>
  <c r="AF10" i="8"/>
  <c r="AE41" i="8"/>
  <c r="AD21" i="8"/>
  <c r="AE44" i="8"/>
  <c r="AF26" i="8"/>
  <c r="AJ33" i="8"/>
  <c r="AJ38" i="8"/>
  <c r="AL44" i="8" l="1"/>
  <c r="AI44" i="8" s="1"/>
  <c r="AL22" i="8"/>
  <c r="AI22" i="8" s="1"/>
  <c r="AL52" i="8"/>
  <c r="AI52" i="8" s="1"/>
  <c r="AL38" i="8"/>
  <c r="AI38" i="8" s="1"/>
  <c r="AE30" i="8"/>
  <c r="AL27" i="8"/>
  <c r="AI27" i="8" s="1"/>
  <c r="X13" i="8" s="1"/>
  <c r="AL51" i="8"/>
  <c r="AI51" i="8" s="1"/>
  <c r="X54" i="8" s="1"/>
  <c r="AL35" i="8"/>
  <c r="AI35" i="8" s="1"/>
  <c r="X16" i="8" s="1"/>
  <c r="X7" i="8"/>
  <c r="Y7" i="8" s="1"/>
  <c r="AL29" i="8"/>
  <c r="AI29" i="8" s="1"/>
  <c r="X30" i="8" s="1"/>
  <c r="AL20" i="8"/>
  <c r="AI20" i="8" s="1"/>
  <c r="AL23" i="8"/>
  <c r="AI23" i="8" s="1"/>
  <c r="AL33" i="8"/>
  <c r="AI33" i="8" s="1"/>
  <c r="X50" i="8" s="1"/>
  <c r="AE36" i="8"/>
  <c r="AJ37" i="8"/>
  <c r="AJ36" i="8" s="1"/>
  <c r="AK35" i="8" s="1"/>
  <c r="AL53" i="8"/>
  <c r="AI53" i="8" s="1"/>
  <c r="AL8" i="8"/>
  <c r="AD18" i="8"/>
  <c r="AE54" i="8"/>
  <c r="AL17" i="8"/>
  <c r="AI17" i="8" s="1"/>
  <c r="X24" i="8" s="1"/>
  <c r="Z24" i="8" s="1"/>
  <c r="AJ43" i="8"/>
  <c r="AJ42" i="8" s="1"/>
  <c r="AK38" i="8" s="1"/>
  <c r="AL47" i="8"/>
  <c r="AI47" i="8" s="1"/>
  <c r="AL11" i="8"/>
  <c r="AJ13" i="8"/>
  <c r="AJ12" i="8" s="1"/>
  <c r="AL21" i="8"/>
  <c r="AI21" i="8" s="1"/>
  <c r="AF42" i="8"/>
  <c r="AD48" i="8"/>
  <c r="AJ49" i="8"/>
  <c r="AJ48" i="8" s="1"/>
  <c r="AK44" i="8" s="1"/>
  <c r="AL9" i="8"/>
  <c r="AI13" i="8"/>
  <c r="AI12" i="8" s="1"/>
  <c r="AF48" i="8"/>
  <c r="AL32" i="8"/>
  <c r="AI32" i="8" s="1"/>
  <c r="AF36" i="8"/>
  <c r="AJ55" i="8"/>
  <c r="AJ54" i="8" s="1"/>
  <c r="AK51" i="8" s="1"/>
  <c r="AJ31" i="8"/>
  <c r="AJ30" i="8" s="1"/>
  <c r="AK29" i="8" s="1"/>
  <c r="AF54" i="8"/>
  <c r="AL45" i="8"/>
  <c r="AI45" i="8" s="1"/>
  <c r="X52" i="8" s="1"/>
  <c r="AE42" i="8"/>
  <c r="AF18" i="8"/>
  <c r="AE18" i="8"/>
  <c r="AJ19" i="8"/>
  <c r="AJ18" i="8" s="1"/>
  <c r="AK15" i="8" s="1"/>
  <c r="AF12" i="8"/>
  <c r="AL28" i="8"/>
  <c r="AI28" i="8" s="1"/>
  <c r="AL50" i="8"/>
  <c r="AI50" i="8" s="1"/>
  <c r="AD24" i="8"/>
  <c r="AF30" i="8"/>
  <c r="AL16" i="8"/>
  <c r="AI16" i="8" s="1"/>
  <c r="AF24" i="8"/>
  <c r="AE48" i="8"/>
  <c r="AE24" i="8"/>
  <c r="AD42" i="8"/>
  <c r="AD54" i="8"/>
  <c r="AE12" i="8"/>
  <c r="AL10" i="8"/>
  <c r="AL40" i="8"/>
  <c r="AI40" i="8" s="1"/>
  <c r="AL39" i="8"/>
  <c r="AD30" i="8"/>
  <c r="AD12" i="8"/>
  <c r="AD36" i="8"/>
  <c r="AL14" i="8"/>
  <c r="AL41" i="8"/>
  <c r="AI41" i="8" s="1"/>
  <c r="Z8" i="8"/>
  <c r="AK21" i="8"/>
  <c r="AK23" i="8"/>
  <c r="AK20" i="8"/>
  <c r="X25" i="8"/>
  <c r="Y24" i="8" l="1"/>
  <c r="X44" i="8"/>
  <c r="Z44" i="8" s="1"/>
  <c r="X51" i="8"/>
  <c r="Y51" i="8" s="1"/>
  <c r="X12" i="8"/>
  <c r="Z12" i="8" s="1"/>
  <c r="X20" i="8"/>
  <c r="Z20" i="8" s="1"/>
  <c r="X28" i="8"/>
  <c r="Z28" i="8" s="1"/>
  <c r="X23" i="8"/>
  <c r="Y23" i="8" s="1"/>
  <c r="X10" i="8"/>
  <c r="Z10" i="8" s="1"/>
  <c r="AK33" i="8"/>
  <c r="AL24" i="8"/>
  <c r="Z7" i="8"/>
  <c r="AI31" i="8"/>
  <c r="AI30" i="8" s="1"/>
  <c r="X36" i="8"/>
  <c r="Z36" i="8" s="1"/>
  <c r="X49" i="8"/>
  <c r="Y49" i="8" s="1"/>
  <c r="X45" i="8"/>
  <c r="Y45" i="8" s="1"/>
  <c r="X47" i="8"/>
  <c r="Y47" i="8" s="1"/>
  <c r="AI55" i="8"/>
  <c r="AI54" i="8" s="1"/>
  <c r="AI37" i="8"/>
  <c r="AI36" i="8" s="1"/>
  <c r="X32" i="8"/>
  <c r="Z32" i="8" s="1"/>
  <c r="AK11" i="8"/>
  <c r="AK10" i="8"/>
  <c r="AK34" i="8"/>
  <c r="AK32" i="8"/>
  <c r="AK9" i="8"/>
  <c r="AL12" i="8"/>
  <c r="X31" i="8"/>
  <c r="Y31" i="8" s="1"/>
  <c r="AK8" i="8"/>
  <c r="X19" i="8"/>
  <c r="Y19" i="8" s="1"/>
  <c r="X15" i="8"/>
  <c r="Y15" i="8" s="1"/>
  <c r="X40" i="8"/>
  <c r="Y40" i="8" s="1"/>
  <c r="AL36" i="8"/>
  <c r="AK27" i="8"/>
  <c r="AK28" i="8"/>
  <c r="AL48" i="8"/>
  <c r="AI49" i="8"/>
  <c r="AI48" i="8" s="1"/>
  <c r="AK26" i="8"/>
  <c r="X37" i="8"/>
  <c r="Y37" i="8" s="1"/>
  <c r="X21" i="8"/>
  <c r="X27" i="8"/>
  <c r="Z27" i="8" s="1"/>
  <c r="Y12" i="8"/>
  <c r="AK17" i="8"/>
  <c r="AK41" i="8"/>
  <c r="AL54" i="8"/>
  <c r="AL30" i="8"/>
  <c r="AK40" i="8"/>
  <c r="X18" i="8"/>
  <c r="Z18" i="8" s="1"/>
  <c r="AK39" i="8"/>
  <c r="X46" i="8"/>
  <c r="X14" i="8"/>
  <c r="AI14" i="8"/>
  <c r="AL18" i="8"/>
  <c r="AI39" i="8"/>
  <c r="AL42" i="8"/>
  <c r="AK14" i="8"/>
  <c r="AK16" i="8"/>
  <c r="AK50" i="8"/>
  <c r="AK45" i="8"/>
  <c r="AK52" i="8"/>
  <c r="AK53" i="8"/>
  <c r="AK46" i="8"/>
  <c r="AK47" i="8"/>
  <c r="Y16" i="8"/>
  <c r="Z16" i="8"/>
  <c r="Z50" i="8"/>
  <c r="Y50" i="8"/>
  <c r="Y13" i="8"/>
  <c r="Z13" i="8"/>
  <c r="Y25" i="8"/>
  <c r="Z25" i="8"/>
  <c r="Z30" i="8"/>
  <c r="Y30" i="8"/>
  <c r="X29" i="8"/>
  <c r="X11" i="8"/>
  <c r="AI25" i="8"/>
  <c r="AI24" i="8" s="1"/>
  <c r="X43" i="8"/>
  <c r="Z54" i="8"/>
  <c r="Y54" i="8"/>
  <c r="Y52" i="8"/>
  <c r="Z52" i="8"/>
  <c r="Z51" i="8" l="1"/>
  <c r="Y44" i="8"/>
  <c r="Z23" i="8"/>
  <c r="Y36" i="8"/>
  <c r="Y20" i="8"/>
  <c r="Z45" i="8"/>
  <c r="Y10" i="8"/>
  <c r="Y28" i="8"/>
  <c r="Y32" i="8"/>
  <c r="Z15" i="8"/>
  <c r="Z47" i="8"/>
  <c r="Z49" i="8"/>
  <c r="Z40" i="8"/>
  <c r="Z31" i="8"/>
  <c r="Z19" i="8"/>
  <c r="Y18" i="8"/>
  <c r="X34" i="8"/>
  <c r="Z34" i="8" s="1"/>
  <c r="X35" i="8"/>
  <c r="X41" i="8"/>
  <c r="Z41" i="8" s="1"/>
  <c r="X39" i="8"/>
  <c r="Y27" i="8"/>
  <c r="Z37" i="8"/>
  <c r="Z21" i="8"/>
  <c r="Y21" i="8"/>
  <c r="Z14" i="8"/>
  <c r="Y14" i="8"/>
  <c r="Y46" i="8"/>
  <c r="Z46" i="8"/>
  <c r="X48" i="8"/>
  <c r="AI43" i="8"/>
  <c r="AI42" i="8" s="1"/>
  <c r="X33" i="8"/>
  <c r="X17" i="8"/>
  <c r="AI19" i="8"/>
  <c r="AI18" i="8" s="1"/>
  <c r="X26" i="8"/>
  <c r="X38" i="8"/>
  <c r="X22" i="8"/>
  <c r="X9" i="8"/>
  <c r="X42" i="8"/>
  <c r="X53" i="8"/>
  <c r="Y29" i="8"/>
  <c r="Z29" i="8"/>
  <c r="Y43" i="8"/>
  <c r="Z43" i="8"/>
  <c r="Z11" i="8"/>
  <c r="Y11" i="8"/>
  <c r="Y41" i="8" l="1"/>
  <c r="Y34" i="8"/>
  <c r="Y39" i="8"/>
  <c r="Z39" i="8"/>
  <c r="Z35" i="8"/>
  <c r="Y35" i="8"/>
  <c r="AS10" i="8"/>
  <c r="AR20" i="8"/>
  <c r="AT17" i="8"/>
  <c r="AQ35" i="8"/>
  <c r="AQ27" i="8"/>
  <c r="AS35" i="8"/>
  <c r="AQ33" i="8"/>
  <c r="AT28" i="8"/>
  <c r="AQ15" i="8"/>
  <c r="AT9" i="8"/>
  <c r="AT27" i="8"/>
  <c r="AR50" i="8"/>
  <c r="AR47" i="8"/>
  <c r="AR23" i="8"/>
  <c r="AT40" i="8"/>
  <c r="AS17" i="8"/>
  <c r="AT32" i="8"/>
  <c r="AR32" i="8"/>
  <c r="AS33" i="8"/>
  <c r="AQ41" i="8"/>
  <c r="AS22" i="8"/>
  <c r="AR44" i="8"/>
  <c r="AQ14" i="8"/>
  <c r="AR39" i="8"/>
  <c r="AQ53" i="8"/>
  <c r="AQ28" i="8"/>
  <c r="AQ16" i="8"/>
  <c r="AS20" i="8"/>
  <c r="AT53" i="8"/>
  <c r="AQ50" i="8"/>
  <c r="AT41" i="8"/>
  <c r="AT22" i="8"/>
  <c r="AQ46" i="8"/>
  <c r="AT34" i="8"/>
  <c r="AR46" i="8"/>
  <c r="AS45" i="8"/>
  <c r="AS44" i="8"/>
  <c r="AT44" i="8"/>
  <c r="AR8" i="8"/>
  <c r="AS9" i="8"/>
  <c r="AT38" i="8"/>
  <c r="AT15" i="8"/>
  <c r="AS46" i="8"/>
  <c r="AS40" i="8"/>
  <c r="AR51" i="8"/>
  <c r="AR11" i="8"/>
  <c r="AQ32" i="8"/>
  <c r="AR22" i="8"/>
  <c r="AR26" i="8"/>
  <c r="AR17" i="8"/>
  <c r="AQ10" i="8"/>
  <c r="AQ52" i="8"/>
  <c r="AS41" i="8"/>
  <c r="AR21" i="8"/>
  <c r="AS27" i="8"/>
  <c r="AU27" i="8" s="1"/>
  <c r="AR28" i="8"/>
  <c r="AQ9" i="8"/>
  <c r="AS29" i="8"/>
  <c r="AR27" i="8"/>
  <c r="AS11" i="8"/>
  <c r="AQ20" i="8"/>
  <c r="AT51" i="8"/>
  <c r="AR15" i="8"/>
  <c r="AS53" i="8"/>
  <c r="AS52" i="8"/>
  <c r="AT45" i="8"/>
  <c r="AT10" i="8"/>
  <c r="AT35" i="8"/>
  <c r="AR35" i="8"/>
  <c r="AQ34" i="8"/>
  <c r="AT20" i="8"/>
  <c r="AR45" i="8"/>
  <c r="AT21" i="8"/>
  <c r="AR53" i="8"/>
  <c r="AQ47" i="8"/>
  <c r="AS15" i="8"/>
  <c r="AS21" i="8"/>
  <c r="AU21" i="8" s="1"/>
  <c r="AQ21" i="8"/>
  <c r="AQ11" i="8"/>
  <c r="AT26" i="8"/>
  <c r="AQ29" i="8"/>
  <c r="AS14" i="8"/>
  <c r="AR10" i="8"/>
  <c r="AT33" i="8"/>
  <c r="AQ23" i="8"/>
  <c r="AS38" i="8"/>
  <c r="AS39" i="8"/>
  <c r="AQ51" i="8"/>
  <c r="AQ38" i="8"/>
  <c r="AT47" i="8"/>
  <c r="AS26" i="8"/>
  <c r="AQ44" i="8"/>
  <c r="AQ26" i="8"/>
  <c r="AR34" i="8"/>
  <c r="AR16" i="8"/>
  <c r="AR29" i="8"/>
  <c r="AT52" i="8"/>
  <c r="AQ17" i="8"/>
  <c r="AS8" i="8"/>
  <c r="AR33" i="8"/>
  <c r="AT29" i="8"/>
  <c r="AT46" i="8"/>
  <c r="AT48" i="8" s="1"/>
  <c r="AR52" i="8"/>
  <c r="AR41" i="8"/>
  <c r="AR9" i="8"/>
  <c r="AS16" i="8"/>
  <c r="AR40" i="8"/>
  <c r="AQ22" i="8"/>
  <c r="AQ39" i="8"/>
  <c r="AQ40" i="8"/>
  <c r="AQ8" i="8"/>
  <c r="AT23" i="8"/>
  <c r="AS51" i="8"/>
  <c r="AS23" i="8"/>
  <c r="AT8" i="8"/>
  <c r="AT14" i="8"/>
  <c r="AT39" i="8"/>
  <c r="AS32" i="8"/>
  <c r="AS47" i="8"/>
  <c r="AR14" i="8"/>
  <c r="AR38" i="8"/>
  <c r="AS28" i="8"/>
  <c r="AU28" i="8" s="1"/>
  <c r="AQ45" i="8"/>
  <c r="AS50" i="8"/>
  <c r="AT11" i="8"/>
  <c r="Y53" i="8"/>
  <c r="Z53" i="8"/>
  <c r="Z9" i="8"/>
  <c r="AT16" i="8"/>
  <c r="Y9" i="8"/>
  <c r="AS34" i="8"/>
  <c r="Y38" i="8"/>
  <c r="Z38" i="8"/>
  <c r="Y33" i="8"/>
  <c r="Z33" i="8"/>
  <c r="Z48" i="8"/>
  <c r="Y48" i="8"/>
  <c r="Z42" i="8"/>
  <c r="Y42" i="8"/>
  <c r="Y22" i="8"/>
  <c r="Z22" i="8"/>
  <c r="Y26" i="8"/>
  <c r="Z26" i="8"/>
  <c r="Y17" i="8"/>
  <c r="Z17" i="8"/>
  <c r="AT50" i="8"/>
  <c r="AQ12" i="8" l="1"/>
  <c r="AU10" i="8"/>
  <c r="AU45" i="8"/>
  <c r="AS18" i="8"/>
  <c r="AT42" i="8"/>
  <c r="AU41" i="8"/>
  <c r="AU15" i="8"/>
  <c r="AU9" i="8"/>
  <c r="AR24" i="8"/>
  <c r="AU23" i="8"/>
  <c r="AU33" i="8"/>
  <c r="AU34" i="8"/>
  <c r="AU35" i="8"/>
  <c r="AT54" i="8"/>
  <c r="AS42" i="8"/>
  <c r="AU32" i="8"/>
  <c r="AQ18" i="8"/>
  <c r="AT36" i="8"/>
  <c r="AU26" i="8"/>
  <c r="AR48" i="8"/>
  <c r="AQ36" i="8"/>
  <c r="AU53" i="8"/>
  <c r="AS48" i="8"/>
  <c r="AU11" i="8"/>
  <c r="AU51" i="8"/>
  <c r="AR12" i="8"/>
  <c r="AR54" i="8"/>
  <c r="AT30" i="8"/>
  <c r="AS12" i="8"/>
  <c r="AQ30" i="8"/>
  <c r="AU20" i="8"/>
  <c r="AS54" i="8"/>
  <c r="AT24" i="8"/>
  <c r="AR36" i="8"/>
  <c r="AR30" i="8"/>
  <c r="AQ54" i="8"/>
  <c r="AU38" i="8"/>
  <c r="AU40" i="8"/>
  <c r="AU17" i="8"/>
  <c r="AR18" i="8"/>
  <c r="AQ42" i="8"/>
  <c r="AT12" i="8"/>
  <c r="AU22" i="8"/>
  <c r="AU46" i="8"/>
  <c r="AU29" i="8"/>
  <c r="AU44" i="8"/>
  <c r="AT18" i="8"/>
  <c r="AR42" i="8"/>
  <c r="AQ48" i="8"/>
  <c r="AU47" i="8"/>
  <c r="AU14" i="8"/>
  <c r="AQ24" i="8"/>
  <c r="AS24" i="8"/>
  <c r="AU16" i="8"/>
  <c r="AS30" i="8"/>
  <c r="AU8" i="8"/>
  <c r="AU39" i="8"/>
  <c r="AU52" i="8"/>
  <c r="AS36" i="8"/>
  <c r="AU50" i="8"/>
  <c r="AU30" i="8" l="1"/>
  <c r="AM27" i="8" s="1"/>
  <c r="AU24" i="8"/>
  <c r="AM21" i="8" s="1"/>
  <c r="AU36" i="8"/>
  <c r="AM34" i="8" s="1"/>
  <c r="AU42" i="8"/>
  <c r="AM41" i="8" s="1"/>
  <c r="AU12" i="8"/>
  <c r="AM10" i="8" s="1"/>
  <c r="AU18" i="8"/>
  <c r="AM17" i="8" s="1"/>
  <c r="AU48" i="8"/>
  <c r="AM46" i="8" s="1"/>
  <c r="AU54" i="8"/>
  <c r="AM28" i="8" l="1"/>
  <c r="AM38" i="8"/>
  <c r="AM29" i="8"/>
  <c r="AM22" i="8"/>
  <c r="AM16" i="8"/>
  <c r="AM33" i="8"/>
  <c r="AM23" i="8"/>
  <c r="AM26" i="8"/>
  <c r="AM35" i="8"/>
  <c r="AM20" i="8"/>
  <c r="AM32" i="8"/>
  <c r="AM11" i="8"/>
  <c r="AM9" i="8"/>
  <c r="AM44" i="8"/>
  <c r="AM40" i="8"/>
  <c r="AM39" i="8"/>
  <c r="AM15" i="8"/>
  <c r="AM8" i="8"/>
  <c r="AM47" i="8"/>
  <c r="AM45" i="8"/>
  <c r="AM14" i="8"/>
  <c r="AM53" i="8"/>
  <c r="AM50" i="8"/>
  <c r="AM52" i="8"/>
  <c r="AM51" i="8"/>
  <c r="AM30" i="8" l="1"/>
  <c r="AO27" i="8" s="1"/>
  <c r="AM36" i="8"/>
  <c r="AO35" i="8" s="1"/>
  <c r="AM24" i="8"/>
  <c r="AO20" i="8" s="1"/>
  <c r="AM48" i="8"/>
  <c r="AO44" i="8" s="1"/>
  <c r="AM12" i="8"/>
  <c r="AO9" i="8" s="1"/>
  <c r="AM18" i="8"/>
  <c r="AO14" i="8" s="1"/>
  <c r="AM42" i="8"/>
  <c r="AO39" i="8" s="1"/>
  <c r="AM54" i="8"/>
  <c r="AO34" i="8" l="1"/>
  <c r="AO23" i="8"/>
  <c r="AO22" i="8"/>
  <c r="AO40" i="8"/>
  <c r="AO21" i="8"/>
  <c r="AO38" i="8"/>
  <c r="AO26" i="8"/>
  <c r="AO28" i="8"/>
  <c r="AO29" i="8"/>
  <c r="AO46" i="8"/>
  <c r="AO32" i="8"/>
  <c r="AO47" i="8"/>
  <c r="AO41" i="8"/>
  <c r="AO8" i="8"/>
  <c r="AO33" i="8"/>
  <c r="AO16" i="8"/>
  <c r="AO17" i="8"/>
  <c r="AO45" i="8"/>
  <c r="AO10" i="8"/>
  <c r="AO11" i="8"/>
  <c r="AO15" i="8"/>
  <c r="AO53" i="8"/>
  <c r="AO50" i="8"/>
  <c r="AO52" i="8"/>
  <c r="AO51" i="8"/>
  <c r="AB32" i="8" l="1"/>
  <c r="AB33" i="8"/>
  <c r="AB35" i="8"/>
  <c r="AB27" i="8"/>
  <c r="AB26" i="8"/>
  <c r="AB22" i="8"/>
  <c r="AB21" i="8"/>
  <c r="AB20" i="8"/>
  <c r="AB28" i="8"/>
  <c r="AB29" i="8"/>
  <c r="AB23" i="8"/>
  <c r="AB40" i="8"/>
  <c r="AB38" i="8"/>
  <c r="AB45" i="8"/>
  <c r="AB14" i="8"/>
  <c r="AB17" i="8"/>
  <c r="AB34" i="8"/>
  <c r="AB41" i="8"/>
  <c r="AB39" i="8"/>
  <c r="AB47" i="8"/>
  <c r="AB44" i="8"/>
  <c r="AB46" i="8"/>
  <c r="AB16" i="8"/>
  <c r="AB9" i="8"/>
  <c r="AB10" i="8"/>
  <c r="AB8" i="8"/>
  <c r="AB11" i="8"/>
  <c r="AB15" i="8"/>
  <c r="AB51" i="8"/>
  <c r="AB50" i="8"/>
  <c r="AB52" i="8"/>
  <c r="AB53" i="8"/>
  <c r="O33" i="8" l="1"/>
  <c r="R30" i="8"/>
  <c r="O34" i="8"/>
  <c r="M33" i="8"/>
  <c r="AP32" i="8" s="1"/>
  <c r="E65" i="8" s="1"/>
  <c r="V62" i="8" s="1"/>
  <c r="W62" i="8" s="1"/>
  <c r="P33" i="8"/>
  <c r="R33" i="8"/>
  <c r="Q33" i="8"/>
  <c r="P36" i="8"/>
  <c r="O36" i="8"/>
  <c r="R36" i="8"/>
  <c r="M36" i="8"/>
  <c r="O30" i="8"/>
  <c r="Q22" i="8"/>
  <c r="M29" i="8"/>
  <c r="Q30" i="8"/>
  <c r="P30" i="8"/>
  <c r="M30" i="8"/>
  <c r="Q27" i="8"/>
  <c r="R22" i="8"/>
  <c r="O24" i="8"/>
  <c r="O21" i="8"/>
  <c r="M22" i="8"/>
  <c r="AP21" i="8" s="1"/>
  <c r="H64" i="8" s="1"/>
  <c r="O22" i="8"/>
  <c r="P22" i="8"/>
  <c r="M21" i="8"/>
  <c r="AP20" i="8" s="1"/>
  <c r="E62" i="8" s="1"/>
  <c r="Q23" i="8"/>
  <c r="P29" i="8"/>
  <c r="Q36" i="8"/>
  <c r="O29" i="8"/>
  <c r="M23" i="8"/>
  <c r="P23" i="8"/>
  <c r="R24" i="8"/>
  <c r="O23" i="8"/>
  <c r="R23" i="8"/>
  <c r="P24" i="8"/>
  <c r="Q24" i="8"/>
  <c r="P28" i="8"/>
  <c r="M24" i="8"/>
  <c r="O39" i="8"/>
  <c r="P48" i="8"/>
  <c r="R46" i="8"/>
  <c r="M28" i="8"/>
  <c r="AP27" i="8" s="1"/>
  <c r="H62" i="8" s="1"/>
  <c r="V59" i="8" s="1"/>
  <c r="W59" i="8" s="1"/>
  <c r="H72" i="8" s="1"/>
  <c r="R34" i="8"/>
  <c r="Q46" i="8"/>
  <c r="M46" i="8"/>
  <c r="AP45" i="8" s="1"/>
  <c r="H68" i="8" s="1"/>
  <c r="Q28" i="8"/>
  <c r="P46" i="8"/>
  <c r="O35" i="8"/>
  <c r="M34" i="8"/>
  <c r="AP33" i="8" s="1"/>
  <c r="H67" i="8" s="1"/>
  <c r="O28" i="8"/>
  <c r="Q29" i="8"/>
  <c r="P34" i="8"/>
  <c r="Q35" i="8"/>
  <c r="R28" i="8"/>
  <c r="M35" i="8"/>
  <c r="R29" i="8"/>
  <c r="R35" i="8"/>
  <c r="P35" i="8"/>
  <c r="Q34" i="8"/>
  <c r="M42" i="8"/>
  <c r="P47" i="8"/>
  <c r="P45" i="8"/>
  <c r="M27" i="8"/>
  <c r="AP26" i="8" s="1"/>
  <c r="E64" i="8" s="1"/>
  <c r="V61" i="8" s="1"/>
  <c r="W61" i="8" s="1"/>
  <c r="H74" i="8" s="1"/>
  <c r="R48" i="8"/>
  <c r="P27" i="8"/>
  <c r="R45" i="8"/>
  <c r="M47" i="8"/>
  <c r="R27" i="8"/>
  <c r="O27" i="8"/>
  <c r="M9" i="8"/>
  <c r="AP8" i="8" s="1"/>
  <c r="E61" i="8" s="1"/>
  <c r="V58" i="8" s="1"/>
  <c r="W58" i="8" s="1"/>
  <c r="E72" i="8" s="1"/>
  <c r="P21" i="8"/>
  <c r="Q21" i="8"/>
  <c r="R21" i="8"/>
  <c r="Q39" i="8"/>
  <c r="Q15" i="8"/>
  <c r="R39" i="8"/>
  <c r="P39" i="8"/>
  <c r="M39" i="8"/>
  <c r="AP38" i="8" s="1"/>
  <c r="E67" i="8" s="1"/>
  <c r="V64" i="8" s="1"/>
  <c r="W64" i="8" s="1"/>
  <c r="E75" i="8" s="1"/>
  <c r="O9" i="8"/>
  <c r="O15" i="8"/>
  <c r="P40" i="8"/>
  <c r="M40" i="8"/>
  <c r="AP39" i="8" s="1"/>
  <c r="H65" i="8" s="1"/>
  <c r="O12" i="8"/>
  <c r="Q17" i="8"/>
  <c r="M15" i="8"/>
  <c r="AP14" i="8" s="1"/>
  <c r="E63" i="8" s="1"/>
  <c r="V60" i="8" s="1"/>
  <c r="W60" i="8" s="1"/>
  <c r="E74" i="8" s="1"/>
  <c r="Q41" i="8"/>
  <c r="R42" i="8"/>
  <c r="P15" i="8"/>
  <c r="R15" i="8"/>
  <c r="O17" i="8"/>
  <c r="R41" i="8"/>
  <c r="R12" i="8"/>
  <c r="O40" i="8"/>
  <c r="P42" i="8"/>
  <c r="M41" i="8"/>
  <c r="Q48" i="8"/>
  <c r="Q10" i="8"/>
  <c r="Q45" i="8"/>
  <c r="O45" i="8"/>
  <c r="M45" i="8"/>
  <c r="AP44" i="8" s="1"/>
  <c r="E66" i="8" s="1"/>
  <c r="V63" i="8" s="1"/>
  <c r="W63" i="8" s="1"/>
  <c r="H73" i="8" s="1"/>
  <c r="Q47" i="8"/>
  <c r="O46" i="8"/>
  <c r="Q12" i="8"/>
  <c r="O11" i="8"/>
  <c r="Q42" i="8"/>
  <c r="R40" i="8"/>
  <c r="M17" i="8"/>
  <c r="O48" i="8"/>
  <c r="S48" i="8" s="1"/>
  <c r="O47" i="8"/>
  <c r="R47" i="8"/>
  <c r="M48" i="8"/>
  <c r="Q40" i="8"/>
  <c r="O41" i="8"/>
  <c r="O42" i="8"/>
  <c r="P41" i="8"/>
  <c r="P10" i="8"/>
  <c r="Q16" i="8"/>
  <c r="R16" i="8"/>
  <c r="Q11" i="8"/>
  <c r="R10" i="8"/>
  <c r="M10" i="8"/>
  <c r="AP9" i="8" s="1"/>
  <c r="H63" i="8" s="1"/>
  <c r="M12" i="8"/>
  <c r="Q9" i="8"/>
  <c r="M11" i="8"/>
  <c r="P12" i="8"/>
  <c r="P11" i="8"/>
  <c r="P9" i="8"/>
  <c r="R11" i="8"/>
  <c r="M16" i="8"/>
  <c r="AP15" i="8" s="1"/>
  <c r="H61" i="8" s="1"/>
  <c r="R17" i="8"/>
  <c r="P16" i="8"/>
  <c r="R9" i="8"/>
  <c r="M18" i="8"/>
  <c r="V70" i="8"/>
  <c r="W70" i="8" s="1"/>
  <c r="H79" i="8" s="1"/>
  <c r="V69" i="8"/>
  <c r="W69" i="8" s="1"/>
  <c r="E79" i="8" s="1"/>
  <c r="E73" i="8"/>
  <c r="O10" i="8"/>
  <c r="O16" i="8"/>
  <c r="P18" i="8"/>
  <c r="O18" i="8"/>
  <c r="R18" i="8"/>
  <c r="P17" i="8"/>
  <c r="Q18" i="8"/>
  <c r="X76" i="8"/>
  <c r="AA76" i="8" s="1"/>
  <c r="E84" i="8" s="1"/>
  <c r="V76" i="8"/>
  <c r="W76" i="8" s="1"/>
  <c r="E88" i="8" s="1"/>
  <c r="S33" i="8"/>
  <c r="Q51" i="8"/>
  <c r="Q53" i="8"/>
  <c r="P53" i="8"/>
  <c r="M53" i="8"/>
  <c r="O54" i="8"/>
  <c r="Q54" i="8"/>
  <c r="R53" i="8"/>
  <c r="M54" i="8"/>
  <c r="P52" i="8"/>
  <c r="Q52" i="8"/>
  <c r="P54" i="8"/>
  <c r="R52" i="8"/>
  <c r="P51" i="8"/>
  <c r="R51" i="8"/>
  <c r="O52" i="8"/>
  <c r="M52" i="8"/>
  <c r="AP51" i="8" s="1"/>
  <c r="H66" i="8" s="1"/>
  <c r="O51" i="8"/>
  <c r="R54" i="8"/>
  <c r="M51" i="8"/>
  <c r="AP50" i="8" s="1"/>
  <c r="E68" i="8" s="1"/>
  <c r="V65" i="8" s="1"/>
  <c r="W65" i="8" s="1"/>
  <c r="H75" i="8" s="1"/>
  <c r="O53" i="8"/>
  <c r="N33" i="8" l="1"/>
  <c r="S34" i="8"/>
  <c r="S36" i="8"/>
  <c r="N36" i="8"/>
  <c r="S30" i="8"/>
  <c r="S21" i="8"/>
  <c r="S24" i="8"/>
  <c r="S22" i="8"/>
  <c r="N30" i="8"/>
  <c r="N28" i="8"/>
  <c r="N27" i="8"/>
  <c r="S29" i="8"/>
  <c r="N22" i="8"/>
  <c r="S42" i="8"/>
  <c r="S35" i="8"/>
  <c r="S23" i="8"/>
  <c r="N29" i="8"/>
  <c r="N24" i="8"/>
  <c r="S39" i="8"/>
  <c r="N23" i="8"/>
  <c r="N11" i="8"/>
  <c r="S12" i="8"/>
  <c r="S28" i="8"/>
  <c r="N35" i="8"/>
  <c r="N34" i="8"/>
  <c r="N39" i="8"/>
  <c r="S46" i="8"/>
  <c r="S45" i="8"/>
  <c r="S47" i="8"/>
  <c r="S15" i="8"/>
  <c r="N12" i="8"/>
  <c r="N21" i="8"/>
  <c r="N15" i="8"/>
  <c r="N10" i="8"/>
  <c r="N48" i="8"/>
  <c r="S27" i="8"/>
  <c r="S9" i="8"/>
  <c r="N9" i="8"/>
  <c r="S40" i="8"/>
  <c r="N40" i="8"/>
  <c r="N17" i="8"/>
  <c r="N47" i="8"/>
  <c r="S11" i="8"/>
  <c r="S41" i="8"/>
  <c r="N42" i="8"/>
  <c r="N45" i="8"/>
  <c r="S17" i="8"/>
  <c r="N46" i="8"/>
  <c r="N41" i="8"/>
  <c r="S10" i="8"/>
  <c r="N16" i="8"/>
  <c r="S16" i="8"/>
  <c r="N18" i="8"/>
  <c r="S18" i="8"/>
  <c r="V72" i="8"/>
  <c r="W72" i="8" s="1"/>
  <c r="H80" i="8" s="1"/>
  <c r="V71" i="8"/>
  <c r="W71" i="8" s="1"/>
  <c r="E80" i="8" s="1"/>
  <c r="N53" i="8"/>
  <c r="S53" i="8"/>
  <c r="N51" i="8"/>
  <c r="S51" i="8"/>
  <c r="S52" i="8"/>
  <c r="N52" i="8"/>
  <c r="S54" i="8"/>
  <c r="N54" i="8"/>
  <c r="V77" i="8" l="1"/>
  <c r="W77" i="8" s="1"/>
  <c r="H88" i="8" s="1"/>
  <c r="V85" i="8" s="1"/>
  <c r="X77" i="8"/>
  <c r="AA77" i="8" s="1"/>
  <c r="H84" i="8" s="1"/>
  <c r="W81" i="8" s="1"/>
  <c r="F90" i="8" l="1"/>
  <c r="W85" i="8"/>
</calcChain>
</file>

<file path=xl/sharedStrings.xml><?xml version="1.0" encoding="utf-8"?>
<sst xmlns="http://schemas.openxmlformats.org/spreadsheetml/2006/main" count="4926" uniqueCount="2714">
  <si>
    <t>Za treće mjesto</t>
  </si>
  <si>
    <t>UT</t>
  </si>
  <si>
    <t>NER.</t>
  </si>
  <si>
    <t>GD - GP</t>
  </si>
  <si>
    <t>BOD</t>
  </si>
  <si>
    <t>Ned</t>
  </si>
  <si>
    <t>Pon</t>
  </si>
  <si>
    <t>Uto</t>
  </si>
  <si>
    <t>Sre</t>
  </si>
  <si>
    <t>Čet</t>
  </si>
  <si>
    <t>Pet</t>
  </si>
  <si>
    <t>Sub</t>
  </si>
  <si>
    <t>Avg</t>
  </si>
  <si>
    <t>Reprezentacija</t>
  </si>
  <si>
    <t>Meksiko</t>
  </si>
  <si>
    <t>Urugvaj</t>
  </si>
  <si>
    <t>Francuska</t>
  </si>
  <si>
    <t>Nigerija</t>
  </si>
  <si>
    <t>Grčka</t>
  </si>
  <si>
    <t>Engleska</t>
  </si>
  <si>
    <t>SAD</t>
  </si>
  <si>
    <t>Alžir</t>
  </si>
  <si>
    <t>Njemačka</t>
  </si>
  <si>
    <t>Australija</t>
  </si>
  <si>
    <t>Holandija</t>
  </si>
  <si>
    <t>Italija</t>
  </si>
  <si>
    <t>Španija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</si>
  <si>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</si>
  <si>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</si>
  <si>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</si>
  <si>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</si>
  <si>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</si>
  <si>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</si>
  <si>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</si>
  <si>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</si>
  <si>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</si>
  <si>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</si>
  <si>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</si>
  <si>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</si>
  <si>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I61</t>
  </si>
  <si>
    <t>I62</t>
  </si>
  <si>
    <t>Swedish</t>
  </si>
  <si>
    <t>Gruppspel</t>
  </si>
  <si>
    <t>Kvartsfinal</t>
  </si>
  <si>
    <t>Semifinal</t>
  </si>
  <si>
    <t>Grupp</t>
  </si>
  <si>
    <t>Sp</t>
  </si>
  <si>
    <t>F</t>
  </si>
  <si>
    <t>GM – IM</t>
  </si>
  <si>
    <t>Sön</t>
  </si>
  <si>
    <t>Mån</t>
  </si>
  <si>
    <t>Tis</t>
  </si>
  <si>
    <t>Lör</t>
  </si>
  <si>
    <t>jan</t>
  </si>
  <si>
    <t>mar</t>
  </si>
  <si>
    <t>apr</t>
  </si>
  <si>
    <t>maj</t>
  </si>
  <si>
    <t>jun</t>
  </si>
  <si>
    <t>jul</t>
  </si>
  <si>
    <t>sep</t>
  </si>
  <si>
    <t>okt</t>
  </si>
  <si>
    <t>nov</t>
  </si>
  <si>
    <t>dec</t>
  </si>
  <si>
    <t>Lag</t>
  </si>
  <si>
    <t>Frankrike</t>
  </si>
  <si>
    <t>Grekland</t>
  </si>
  <si>
    <t>Elfenbenskusten</t>
  </si>
  <si>
    <t>Chinese (Traditional)</t>
  </si>
  <si>
    <t>Chinese (Simplified)</t>
  </si>
  <si>
    <t>小组赛阶段</t>
  </si>
  <si>
    <t>16强赛</t>
  </si>
  <si>
    <t>8强赛</t>
  </si>
  <si>
    <t>半决赛</t>
  </si>
  <si>
    <t>季军赛</t>
  </si>
  <si>
    <t>总决赛</t>
  </si>
  <si>
    <t>小组</t>
  </si>
  <si>
    <t>场次</t>
  </si>
  <si>
    <t>胜</t>
  </si>
  <si>
    <t>平</t>
  </si>
  <si>
    <t>负</t>
  </si>
  <si>
    <t>得失球</t>
  </si>
  <si>
    <t>积分</t>
  </si>
  <si>
    <t>周日</t>
  </si>
  <si>
    <t>周一</t>
  </si>
  <si>
    <t>周二</t>
  </si>
  <si>
    <t>周三</t>
  </si>
  <si>
    <t>周四</t>
  </si>
  <si>
    <t>周五</t>
  </si>
  <si>
    <t>周六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</si>
  <si>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</si>
  <si>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</si>
  <si>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</si>
  <si>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</si>
  <si>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</si>
  <si>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</si>
  <si>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</si>
  <si>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</si>
  <si>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</si>
  <si>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</si>
  <si>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</si>
  <si>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</si>
  <si>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球队</t>
  </si>
  <si>
    <t>乌拉圭</t>
  </si>
  <si>
    <t>法国</t>
  </si>
  <si>
    <t>尼日利亚</t>
  </si>
  <si>
    <t>韩国</t>
  </si>
  <si>
    <t>希腊</t>
  </si>
  <si>
    <t>美国</t>
  </si>
  <si>
    <t>阿尔及利亚</t>
  </si>
  <si>
    <t>德国</t>
  </si>
  <si>
    <t>澳大利亚</t>
  </si>
  <si>
    <t>加纳</t>
  </si>
  <si>
    <t>荷兰</t>
  </si>
  <si>
    <t>喀麦隆</t>
  </si>
  <si>
    <t>科特迪瓦</t>
  </si>
  <si>
    <t>49胜者</t>
  </si>
  <si>
    <t>50胜者</t>
  </si>
  <si>
    <t>51胜者</t>
  </si>
  <si>
    <t>52胜者</t>
  </si>
  <si>
    <t>53胜者</t>
  </si>
  <si>
    <t>54胜者</t>
  </si>
  <si>
    <t>55胜者</t>
  </si>
  <si>
    <t>56胜者</t>
  </si>
  <si>
    <t>57胜者</t>
  </si>
  <si>
    <t>58胜者</t>
  </si>
  <si>
    <t>59胜者</t>
  </si>
  <si>
    <t>60胜者</t>
  </si>
  <si>
    <t>61胜者</t>
  </si>
  <si>
    <t>62胜者</t>
  </si>
  <si>
    <t>61负者</t>
  </si>
  <si>
    <t>62负者</t>
  </si>
  <si>
    <t>Polish</t>
  </si>
  <si>
    <t>Faza Grupowa</t>
  </si>
  <si>
    <t>1/8 Finału</t>
  </si>
  <si>
    <t>Ćwierćfinały</t>
  </si>
  <si>
    <t>Półfinały</t>
  </si>
  <si>
    <t>Mecz o trzecie miejsce</t>
  </si>
  <si>
    <t>Finał</t>
  </si>
  <si>
    <t>Z - S</t>
  </si>
  <si>
    <t>Pkt</t>
  </si>
  <si>
    <t>Nd</t>
  </si>
  <si>
    <t>Pn</t>
  </si>
  <si>
    <t>Wt</t>
  </si>
  <si>
    <t>Śr</t>
  </si>
  <si>
    <t>Cz</t>
  </si>
  <si>
    <t>Pt</t>
  </si>
  <si>
    <t>Sty</t>
  </si>
  <si>
    <t>Lut</t>
  </si>
  <si>
    <t>Kwi</t>
  </si>
  <si>
    <t>Cze</t>
  </si>
  <si>
    <t>Lip</t>
  </si>
  <si>
    <t>Się</t>
  </si>
  <si>
    <t>Wrz</t>
  </si>
  <si>
    <t>Paź</t>
  </si>
  <si>
    <t>Lis</t>
  </si>
  <si>
    <t>Gru</t>
  </si>
  <si>
    <t>Drużyna</t>
  </si>
  <si>
    <t>Meksyk</t>
  </si>
  <si>
    <t>Urugwaj</t>
  </si>
  <si>
    <t>Francja</t>
  </si>
  <si>
    <t>Argentyna</t>
  </si>
  <si>
    <t>Korea Południowa</t>
  </si>
  <si>
    <t>Grecja</t>
  </si>
  <si>
    <t>Algieria</t>
  </si>
  <si>
    <t>Niemcy</t>
  </si>
  <si>
    <t>Włochy</t>
  </si>
  <si>
    <t>Brazylia</t>
  </si>
  <si>
    <t>Wybrzeże Kości Słoniowej</t>
  </si>
  <si>
    <t>Hiszpania</t>
  </si>
  <si>
    <t>Szwajcaria</t>
  </si>
  <si>
    <t>Itali</t>
  </si>
  <si>
    <t>รอบแรก</t>
  </si>
  <si>
    <t>รอบสอง</t>
  </si>
  <si>
    <t>รอบก่อนรองชนะเลิศ</t>
  </si>
  <si>
    <t>รอบรองชนะเลิศ</t>
  </si>
  <si>
    <t>รอบชิงที่ 3</t>
  </si>
  <si>
    <t>รอบชิงชนะเลิศ</t>
  </si>
  <si>
    <t>สาย</t>
  </si>
  <si>
    <t>แข่ง</t>
  </si>
  <si>
    <t>ชนะ</t>
  </si>
  <si>
    <t>เสมอ</t>
  </si>
  <si>
    <t>แพ้</t>
  </si>
  <si>
    <t>ได้ - เสีย</t>
  </si>
  <si>
    <t>คะแนน</t>
  </si>
  <si>
    <t>อาทิตย์</t>
  </si>
  <si>
    <t>จันทร์</t>
  </si>
  <si>
    <t>อังคาร</t>
  </si>
  <si>
    <t>พุธ</t>
  </si>
  <si>
    <t>พฤหัส</t>
  </si>
  <si>
    <t>ศุกร์</t>
  </si>
  <si>
    <t>เสาร์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</si>
  <si>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</si>
  <si>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</si>
  <si>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</si>
  <si>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</si>
  <si>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</si>
  <si>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</si>
  <si>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</si>
  <si>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</si>
  <si>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</si>
  <si>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</si>
  <si>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</si>
  <si>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</si>
  <si>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ทึม</t>
  </si>
  <si>
    <t>ฝรั่งเศส</t>
  </si>
  <si>
    <t>อาร์เจนตินา</t>
  </si>
  <si>
    <t>ไนจีเรีย</t>
  </si>
  <si>
    <t>เกาหลีใต้</t>
  </si>
  <si>
    <t>อังกฤษ</t>
  </si>
  <si>
    <t>ออสเตรเลีย</t>
  </si>
  <si>
    <t>กานา</t>
  </si>
  <si>
    <t>ญี่ปุ่น</t>
  </si>
  <si>
    <t>แคเมอรูน</t>
  </si>
  <si>
    <t>อิตาลี</t>
  </si>
  <si>
    <t>บราซิล</t>
  </si>
  <si>
    <t>โปรตุเกส</t>
  </si>
  <si>
    <t>สเปน</t>
  </si>
  <si>
    <t>ฮอนดูรัส</t>
  </si>
  <si>
    <t>ชิลี</t>
  </si>
  <si>
    <t>ที่ 1 สาย A</t>
  </si>
  <si>
    <t>ที่ 2 สาย A</t>
  </si>
  <si>
    <t>ที่ 1 สาย B</t>
  </si>
  <si>
    <t>ที่ 2 สาย B</t>
  </si>
  <si>
    <t>ที่ 1 สาย C</t>
  </si>
  <si>
    <t>ที่ 2 สาย C</t>
  </si>
  <si>
    <t>ที่ 1 สาย D</t>
  </si>
  <si>
    <t>ที่ 2 สาย D</t>
  </si>
  <si>
    <t>ที่ 1 สาย E</t>
  </si>
  <si>
    <t>ที่ 2 สาย E</t>
  </si>
  <si>
    <t>ที่ 1 สาย F</t>
  </si>
  <si>
    <t>ที่ 2 สาย F</t>
  </si>
  <si>
    <t>ที่ 1 สาย G</t>
  </si>
  <si>
    <t>ที่ 2 สาย G</t>
  </si>
  <si>
    <t>ที่ 1 สาย H</t>
  </si>
  <si>
    <t>ที่ 2 สาย H</t>
  </si>
  <si>
    <t>ผู้ชนะนัดที่ 49</t>
  </si>
  <si>
    <t>ผู้ชนะนัดที่ 50</t>
  </si>
  <si>
    <t>ผู้ชนะนัดที่ 51</t>
  </si>
  <si>
    <t>ผู้ชนะนัดที่ 52</t>
  </si>
  <si>
    <t>ผู้ชนะนัดที่ 53</t>
  </si>
  <si>
    <t>ผู้ชนะนัดที่ 54</t>
  </si>
  <si>
    <t>ผู้ชนะนัดที่ 55</t>
  </si>
  <si>
    <t>ผู้ชนะนัดที่ 56</t>
  </si>
  <si>
    <t>ผู้ชนะนัดที่ 57</t>
  </si>
  <si>
    <t>ผู้ชนะนัดที่ 58</t>
  </si>
  <si>
    <t>ผู้ชนะนัดที่ 59</t>
  </si>
  <si>
    <t>ผู้ชนะนัดที่ 60</t>
  </si>
  <si>
    <t>ผู้ชนะนัดที่ 61</t>
  </si>
  <si>
    <t>ผู้ชนะนัดที่ 62</t>
  </si>
  <si>
    <t>ผู้แพ้นัดที่ 61</t>
  </si>
  <si>
    <t>ผู้แพ้นัดที่ 62</t>
  </si>
  <si>
    <t>Thai</t>
  </si>
  <si>
    <t>Slovak</t>
  </si>
  <si>
    <t>Skupinová fáza</t>
  </si>
  <si>
    <t>Osemfinále</t>
  </si>
  <si>
    <t>Štvrťfinále</t>
  </si>
  <si>
    <t xml:space="preserve">Zápas o 3. miesto </t>
  </si>
  <si>
    <t>GS-GI</t>
  </si>
  <si>
    <t>Ut</t>
  </si>
  <si>
    <t>Št</t>
  </si>
  <si>
    <t>Pi</t>
  </si>
  <si>
    <t>Mužstvo</t>
  </si>
  <si>
    <t>Uruguaj</t>
  </si>
  <si>
    <t>Anglicko</t>
  </si>
  <si>
    <t>Austrália</t>
  </si>
  <si>
    <t>Pobrežie Slonoviny</t>
  </si>
  <si>
    <t>Gruppespill</t>
  </si>
  <si>
    <t>8-dels finale</t>
  </si>
  <si>
    <t>Bronsefinale</t>
  </si>
  <si>
    <t>U</t>
  </si>
  <si>
    <t>Mål</t>
  </si>
  <si>
    <t>Tirs</t>
  </si>
  <si>
    <t>Tors</t>
  </si>
  <si>
    <t>Sør-Korea</t>
  </si>
  <si>
    <t>Hellas</t>
  </si>
  <si>
    <t>Algerie</t>
  </si>
  <si>
    <t>Sveits</t>
  </si>
  <si>
    <t>Norwegian</t>
  </si>
  <si>
    <t>Hebrew</t>
  </si>
  <si>
    <t>שלב הבתים</t>
  </si>
  <si>
    <t>שמינית גמר</t>
  </si>
  <si>
    <t>רבע גמר</t>
  </si>
  <si>
    <t>חצי גמר</t>
  </si>
  <si>
    <t>מקום 3-4</t>
  </si>
  <si>
    <t>גמר</t>
  </si>
  <si>
    <t>בית</t>
  </si>
  <si>
    <t>משחקים</t>
  </si>
  <si>
    <t>נצחונות</t>
  </si>
  <si>
    <t>תיקו</t>
  </si>
  <si>
    <t>הפסדים</t>
  </si>
  <si>
    <t>יחס שערים</t>
  </si>
  <si>
    <t>נקודות</t>
  </si>
  <si>
    <t>ראשון</t>
  </si>
  <si>
    <t>שני</t>
  </si>
  <si>
    <t>שלישי</t>
  </si>
  <si>
    <t>רביעי</t>
  </si>
  <si>
    <t>חמישי</t>
  </si>
  <si>
    <t>שישי</t>
  </si>
  <si>
    <t>שבת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</si>
  <si>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</si>
  <si>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</si>
  <si>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</si>
  <si>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</si>
  <si>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</si>
  <si>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</si>
  <si>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</si>
  <si>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</si>
  <si>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</si>
  <si>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</si>
  <si>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</si>
  <si>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</si>
  <si>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קבוצה</t>
  </si>
  <si>
    <t>מקסיקו</t>
  </si>
  <si>
    <t>צרפת</t>
  </si>
  <si>
    <t>ארגנטינה</t>
  </si>
  <si>
    <t>ניגריה</t>
  </si>
  <si>
    <t>אנגליה</t>
  </si>
  <si>
    <t>אלג'יריה</t>
  </si>
  <si>
    <t>גרמניה</t>
  </si>
  <si>
    <t>אוסטרליה</t>
  </si>
  <si>
    <t>גאנה</t>
  </si>
  <si>
    <t>הולנד</t>
  </si>
  <si>
    <t>יפן</t>
  </si>
  <si>
    <t>קמרון</t>
  </si>
  <si>
    <t>איטליה</t>
  </si>
  <si>
    <t>ברזיל</t>
  </si>
  <si>
    <t>פורטוגל</t>
  </si>
  <si>
    <t>ספרד</t>
  </si>
  <si>
    <t>הונדורס</t>
  </si>
  <si>
    <t>צ'ילה</t>
  </si>
  <si>
    <t>Finalas</t>
  </si>
  <si>
    <t>Urugvajus</t>
  </si>
  <si>
    <t>Prancūzija</t>
  </si>
  <si>
    <t>Graikija</t>
  </si>
  <si>
    <t>Anglija</t>
  </si>
  <si>
    <t>Alžyras</t>
  </si>
  <si>
    <t>Vokietija</t>
  </si>
  <si>
    <t>Japonija</t>
  </si>
  <si>
    <t>Kamerūnas</t>
  </si>
  <si>
    <t>Brazilija</t>
  </si>
  <si>
    <t>Dramblio Kaulo Krantas</t>
  </si>
  <si>
    <t>Portugalija</t>
  </si>
  <si>
    <t>Ispanija</t>
  </si>
  <si>
    <t>Šveicarija</t>
  </si>
  <si>
    <t>Čilė</t>
  </si>
  <si>
    <t>Lithuanian</t>
  </si>
  <si>
    <t>Grupės Etapas</t>
  </si>
  <si>
    <t>16-tuko Raundas</t>
  </si>
  <si>
    <t>Ketvirtfinaliai</t>
  </si>
  <si>
    <t>Pusfinaliai</t>
  </si>
  <si>
    <t>Rungtynės dėl Trečios Vietos</t>
  </si>
  <si>
    <t>Grupė</t>
  </si>
  <si>
    <t>Žst</t>
  </si>
  <si>
    <t>Lyg</t>
  </si>
  <si>
    <t>Įm - Pr</t>
  </si>
  <si>
    <t>Tšk</t>
  </si>
  <si>
    <t>Sekm</t>
  </si>
  <si>
    <t>Pirm</t>
  </si>
  <si>
    <t>Antr</t>
  </si>
  <si>
    <t>Treč</t>
  </si>
  <si>
    <t>Ketv</t>
  </si>
  <si>
    <t>Penk</t>
  </si>
  <si>
    <t>Šešt</t>
  </si>
  <si>
    <t>Saus</t>
  </si>
  <si>
    <t>Kov</t>
  </si>
  <si>
    <t>Bal</t>
  </si>
  <si>
    <t>Geg</t>
  </si>
  <si>
    <t>Birž</t>
  </si>
  <si>
    <t>Lie</t>
  </si>
  <si>
    <t>Rugp</t>
  </si>
  <si>
    <t>Rugs</t>
  </si>
  <si>
    <t>Spa</t>
  </si>
  <si>
    <t>Lapk</t>
  </si>
  <si>
    <t>Gruo</t>
  </si>
  <si>
    <t>Korėjos Respublika</t>
  </si>
  <si>
    <t>JAV</t>
  </si>
  <si>
    <t>Nyderlandai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</si>
  <si>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</si>
  <si>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</si>
  <si>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</si>
  <si>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</si>
  <si>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</si>
  <si>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</si>
  <si>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</si>
  <si>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</si>
  <si>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</si>
  <si>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</si>
  <si>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</si>
  <si>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</si>
  <si>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الدور الأول</t>
  </si>
  <si>
    <t>دور الستة عشر</t>
  </si>
  <si>
    <t>دور الربع نهائي</t>
  </si>
  <si>
    <t>دور النصف نهائي</t>
  </si>
  <si>
    <t>تحديد المركزين الثالث والرابع</t>
  </si>
  <si>
    <t>المباراة النهائية</t>
  </si>
  <si>
    <t>عليه - له</t>
  </si>
  <si>
    <t>الأربعاء</t>
  </si>
  <si>
    <t>كانون ثاني</t>
  </si>
  <si>
    <t>شباط</t>
  </si>
  <si>
    <t>آذار</t>
  </si>
  <si>
    <t>نيسان</t>
  </si>
  <si>
    <t>أياد</t>
  </si>
  <si>
    <t>حزيران</t>
  </si>
  <si>
    <t>تموز</t>
  </si>
  <si>
    <t>آب</t>
  </si>
  <si>
    <t>أيلول</t>
  </si>
  <si>
    <t>تشرين أول</t>
  </si>
  <si>
    <t>تشرين ثاني</t>
  </si>
  <si>
    <t>كانون أول</t>
  </si>
  <si>
    <t>المنتخب</t>
  </si>
  <si>
    <t>إيطاليا</t>
  </si>
  <si>
    <t>تشيلي</t>
  </si>
  <si>
    <t>Fase a gironi</t>
  </si>
  <si>
    <t>Ottavi di finale</t>
  </si>
  <si>
    <t>Quarti di finale</t>
  </si>
  <si>
    <t>Finale 3°- 4° posto</t>
  </si>
  <si>
    <t>GF - GS</t>
  </si>
  <si>
    <t>Slovenian</t>
  </si>
  <si>
    <t>Skupinski del</t>
  </si>
  <si>
    <t>Osminafinala</t>
  </si>
  <si>
    <t>Četrtfinale</t>
  </si>
  <si>
    <t>Polfinale</t>
  </si>
  <si>
    <t>Za tretje mesto</t>
  </si>
  <si>
    <t>Sob</t>
  </si>
  <si>
    <t>Moštvo</t>
  </si>
  <si>
    <t>Južna Koreja</t>
  </si>
  <si>
    <t>Grčija</t>
  </si>
  <si>
    <t>ZDA</t>
  </si>
  <si>
    <t>Alžirija</t>
  </si>
  <si>
    <t>Nemčija</t>
  </si>
  <si>
    <t>Avstralija</t>
  </si>
  <si>
    <t>Nizozemska</t>
  </si>
  <si>
    <t>Japonska</t>
  </si>
  <si>
    <t>Slonokoščena obala</t>
  </si>
  <si>
    <t>Portugalska</t>
  </si>
  <si>
    <t>Švica</t>
  </si>
  <si>
    <t>Argélia</t>
  </si>
  <si>
    <t>Itália</t>
  </si>
  <si>
    <t>Maltese</t>
  </si>
  <si>
    <t>Fażi tal-Gruppi</t>
  </si>
  <si>
    <t>L-Aħħar Sittax</t>
  </si>
  <si>
    <t>Kwarti-Finali</t>
  </si>
  <si>
    <t>Semi-Finali</t>
  </si>
  <si>
    <t>Final għat-Tielet u r-Raba' Post</t>
  </si>
  <si>
    <t>Finali</t>
  </si>
  <si>
    <t>Ħad</t>
  </si>
  <si>
    <t>Tne</t>
  </si>
  <si>
    <t>Tli</t>
  </si>
  <si>
    <t>Erb</t>
  </si>
  <si>
    <t>Ħam</t>
  </si>
  <si>
    <t>Ġim</t>
  </si>
  <si>
    <t>Sib</t>
  </si>
  <si>
    <t>Fra</t>
  </si>
  <si>
    <t>Mej</t>
  </si>
  <si>
    <t>Ġun</t>
  </si>
  <si>
    <t>Lul</t>
  </si>
  <si>
    <t>Aww</t>
  </si>
  <si>
    <t>Deċ</t>
  </si>
  <si>
    <t>Messiku</t>
  </si>
  <si>
    <t>Franza</t>
  </si>
  <si>
    <t>Arġentina</t>
  </si>
  <si>
    <t>Niġerja</t>
  </si>
  <si>
    <t>Ingilterra</t>
  </si>
  <si>
    <t>Alġerija</t>
  </si>
  <si>
    <t>Ġermanja</t>
  </si>
  <si>
    <t>Awstralja</t>
  </si>
  <si>
    <t>Ġappun</t>
  </si>
  <si>
    <t>Italja</t>
  </si>
  <si>
    <t>Brażil</t>
  </si>
  <si>
    <t>Ċile</t>
  </si>
  <si>
    <t>1Ċ</t>
  </si>
  <si>
    <t>2Ċ</t>
  </si>
  <si>
    <t>1Ġ</t>
  </si>
  <si>
    <t>2Ġ</t>
  </si>
  <si>
    <t>1Ħ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</si>
  <si>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</si>
  <si>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</si>
  <si>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</si>
  <si>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</si>
  <si>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</si>
  <si>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</si>
  <si>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</si>
  <si>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</si>
  <si>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</si>
  <si>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</si>
  <si>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</si>
  <si>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</si>
  <si>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</si>
  <si>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</si>
  <si>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Urdu</t>
  </si>
  <si>
    <t>۲۰۱۰ فٹبال عالمی کپ ٹورنمنٹ کا خاکہ</t>
  </si>
  <si>
    <t>گروپ بندی</t>
  </si>
  <si>
    <t>سولھواں دور</t>
  </si>
  <si>
    <t>کواٹر فائنل</t>
  </si>
  <si>
    <t>سیمی فائنل</t>
  </si>
  <si>
    <t>تیسرے مقام کے لئے کھیل</t>
  </si>
  <si>
    <t>فائنل</t>
  </si>
  <si>
    <t>کھیلے گئے مقابلے</t>
  </si>
  <si>
    <t>جیت</t>
  </si>
  <si>
    <t>برابر</t>
  </si>
  <si>
    <t>ہارے گئے مقابلے</t>
  </si>
  <si>
    <t>گول کئے- انکے خلاف گول کئے گئے</t>
  </si>
  <si>
    <t>نشان</t>
  </si>
  <si>
    <t>اتوار</t>
  </si>
  <si>
    <t>پیر</t>
  </si>
  <si>
    <t>منگل</t>
  </si>
  <si>
    <t>بدھ</t>
  </si>
  <si>
    <t>جمعرات</t>
  </si>
  <si>
    <t>جمعہ</t>
  </si>
  <si>
    <t>سنیچر</t>
  </si>
  <si>
    <t>جنوری</t>
  </si>
  <si>
    <t>فروری</t>
  </si>
  <si>
    <t>مارچ</t>
  </si>
  <si>
    <t>اپریل</t>
  </si>
  <si>
    <t>مئی</t>
  </si>
  <si>
    <t>جون</t>
  </si>
  <si>
    <t>جولائی</t>
  </si>
  <si>
    <t>اگست</t>
  </si>
  <si>
    <t>ستمبر</t>
  </si>
  <si>
    <t>اکتوبر</t>
  </si>
  <si>
    <t>نومبر</t>
  </si>
  <si>
    <t>دسمبر</t>
  </si>
  <si>
    <t>ٹیم</t>
  </si>
  <si>
    <t>میکسیکو</t>
  </si>
  <si>
    <t>فرانس</t>
  </si>
  <si>
    <t>ارجنٹینا</t>
  </si>
  <si>
    <t>انگلستان</t>
  </si>
  <si>
    <t>الجیریا</t>
  </si>
  <si>
    <t>جرمنی</t>
  </si>
  <si>
    <t>جاپان</t>
  </si>
  <si>
    <t>کیمرون</t>
  </si>
  <si>
    <t>برازیل</t>
  </si>
  <si>
    <t>پرتگال</t>
  </si>
  <si>
    <t>چلی</t>
  </si>
  <si>
    <t>۱الف</t>
  </si>
  <si>
    <t>۲الف</t>
  </si>
  <si>
    <t>۱ب</t>
  </si>
  <si>
    <t>۲ب</t>
  </si>
  <si>
    <t>۱ج</t>
  </si>
  <si>
    <t>۲ج</t>
  </si>
  <si>
    <t>۱د</t>
  </si>
  <si>
    <t>۲د</t>
  </si>
  <si>
    <t>۱ھ</t>
  </si>
  <si>
    <t>۲ھ</t>
  </si>
  <si>
    <t>۱و</t>
  </si>
  <si>
    <t>۲و</t>
  </si>
  <si>
    <t>۱ز</t>
  </si>
  <si>
    <t>۲ز</t>
  </si>
  <si>
    <t>۱ح</t>
  </si>
  <si>
    <t>۲ح</t>
  </si>
  <si>
    <t>۴۹ جیت</t>
  </si>
  <si>
    <t>۵۰ جیت</t>
  </si>
  <si>
    <t>۵۱ جیت</t>
  </si>
  <si>
    <t>۵۲ جیت</t>
  </si>
  <si>
    <t>۵۳ جیت</t>
  </si>
  <si>
    <t>۵۴ جیت</t>
  </si>
  <si>
    <t>۵۵ جیت</t>
  </si>
  <si>
    <t>۵۶ جیت</t>
  </si>
  <si>
    <t>۵۷ جیت</t>
  </si>
  <si>
    <t>۵۸ جیت</t>
  </si>
  <si>
    <t>۵۹ جیت</t>
  </si>
  <si>
    <t>۶۰ جیت</t>
  </si>
  <si>
    <t>۶۱ جیت</t>
  </si>
  <si>
    <t>۶۲ جیت</t>
  </si>
  <si>
    <t>۶۱ ہار</t>
  </si>
  <si>
    <t>۶۲ ہار</t>
  </si>
  <si>
    <t>ورلڈ چیمپینس</t>
  </si>
  <si>
    <t>F-A</t>
  </si>
  <si>
    <t>FIFA</t>
  </si>
  <si>
    <t>Group Round Sorting</t>
  </si>
  <si>
    <t>Icelandic</t>
  </si>
  <si>
    <t>Riðlakeppnin</t>
  </si>
  <si>
    <t>16 liða úrslit</t>
  </si>
  <si>
    <t>8 liða úrslit</t>
  </si>
  <si>
    <t>Undanúrslit</t>
  </si>
  <si>
    <t>Leikur um 3.sæti</t>
  </si>
  <si>
    <t>Úrslit</t>
  </si>
  <si>
    <t>Riðill</t>
  </si>
  <si>
    <t>Jafnt</t>
  </si>
  <si>
    <t>S - F</t>
  </si>
  <si>
    <t>Stig</t>
  </si>
  <si>
    <t>Mán</t>
  </si>
  <si>
    <t>Þri</t>
  </si>
  <si>
    <t>Mið</t>
  </si>
  <si>
    <t>Fim</t>
  </si>
  <si>
    <t>Fös</t>
  </si>
  <si>
    <t>Lau</t>
  </si>
  <si>
    <t>Maí</t>
  </si>
  <si>
    <t>Ágú</t>
  </si>
  <si>
    <t>Nóv</t>
  </si>
  <si>
    <t>Lið</t>
  </si>
  <si>
    <t>Nígería</t>
  </si>
  <si>
    <t>Grikkland</t>
  </si>
  <si>
    <t>Þýskaland</t>
  </si>
  <si>
    <t>Kamerún</t>
  </si>
  <si>
    <t>Brasilía</t>
  </si>
  <si>
    <t>Sviss</t>
  </si>
  <si>
    <t>Portuguese</t>
  </si>
  <si>
    <t>Oitavos de Final</t>
  </si>
  <si>
    <t>Quartos de Final</t>
  </si>
  <si>
    <t>Semi-final</t>
  </si>
  <si>
    <t>3º/4º lugar</t>
  </si>
  <si>
    <t>GM - GS</t>
  </si>
  <si>
    <t>Equipa</t>
  </si>
  <si>
    <t>Albanian</t>
  </si>
  <si>
    <t>Grupet</t>
  </si>
  <si>
    <t>Rundi I 16</t>
  </si>
  <si>
    <t>Qerekfinalja</t>
  </si>
  <si>
    <t>Gjysmëfinalja</t>
  </si>
  <si>
    <t>Takimi për vendin e tretë</t>
  </si>
  <si>
    <t>Finalja</t>
  </si>
  <si>
    <t>Grupi</t>
  </si>
  <si>
    <t>BAR</t>
  </si>
  <si>
    <t>GSH-GP</t>
  </si>
  <si>
    <t>PIK</t>
  </si>
  <si>
    <t>Diel</t>
  </si>
  <si>
    <t>Hënë</t>
  </si>
  <si>
    <t>Mër</t>
  </si>
  <si>
    <t>Enjt</t>
  </si>
  <si>
    <t>Pre</t>
  </si>
  <si>
    <t>Sht</t>
  </si>
  <si>
    <t>Shk</t>
  </si>
  <si>
    <t>Pri</t>
  </si>
  <si>
    <t>Qer</t>
  </si>
  <si>
    <t>Kor</t>
  </si>
  <si>
    <t>Gus</t>
  </si>
  <si>
    <t>Shta</t>
  </si>
  <si>
    <t>Tet</t>
  </si>
  <si>
    <t>Nën</t>
  </si>
  <si>
    <t>Dhj</t>
  </si>
  <si>
    <t>Ekipi</t>
  </si>
  <si>
    <t>SHBA</t>
  </si>
  <si>
    <t>Brazili</t>
  </si>
  <si>
    <t>Spanja</t>
  </si>
  <si>
    <t>Kili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</si>
  <si>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</si>
  <si>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</si>
  <si>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</si>
  <si>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</si>
  <si>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</si>
  <si>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</si>
  <si>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</si>
  <si>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</si>
  <si>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</si>
  <si>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</si>
  <si>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</si>
  <si>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</si>
  <si>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</si>
  <si>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</si>
  <si>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H61</t>
  </si>
  <si>
    <t>H62</t>
  </si>
  <si>
    <t xml:space="preserve">Kampioni </t>
  </si>
  <si>
    <t>Armenian</t>
  </si>
  <si>
    <t>Խմբային փուլ</t>
  </si>
  <si>
    <t>1/8 Եզրափակիչ</t>
  </si>
  <si>
    <t>1/4 Եզրափակիչ</t>
  </si>
  <si>
    <t>Կիսաեզրափակիչ</t>
  </si>
  <si>
    <t>3-րդ տեղի համար եզրափակիչ</t>
  </si>
  <si>
    <t>Եզրափակիչ</t>
  </si>
  <si>
    <t>Խումբ</t>
  </si>
  <si>
    <t>Խ</t>
  </si>
  <si>
    <t>Հ</t>
  </si>
  <si>
    <t>Ո</t>
  </si>
  <si>
    <t>Պ</t>
  </si>
  <si>
    <t>ԽԳ-ԲԳ</t>
  </si>
  <si>
    <t>Մ</t>
  </si>
  <si>
    <t>Կիր.</t>
  </si>
  <si>
    <t>Երկ.</t>
  </si>
  <si>
    <t>Երեք.</t>
  </si>
  <si>
    <t>Չոր.</t>
  </si>
  <si>
    <t>Հինգ.</t>
  </si>
  <si>
    <t>Ուրբ.</t>
  </si>
  <si>
    <t>Շաբ.</t>
  </si>
  <si>
    <t>Հունվ.</t>
  </si>
  <si>
    <t>Փետր.</t>
  </si>
  <si>
    <t>Մարտ</t>
  </si>
  <si>
    <t>Ապրիլ</t>
  </si>
  <si>
    <t>Մայիս</t>
  </si>
  <si>
    <t>Հունիս</t>
  </si>
  <si>
    <t>Հուլիս</t>
  </si>
  <si>
    <t>Օգոս.</t>
  </si>
  <si>
    <t>Սեպտ.</t>
  </si>
  <si>
    <t>Հոկտ.</t>
  </si>
  <si>
    <t>Նոյեմ.</t>
  </si>
  <si>
    <t>Դեկտ.</t>
  </si>
  <si>
    <t>Հավաքական</t>
  </si>
  <si>
    <t>Մեքսիկա</t>
  </si>
  <si>
    <t>Ուրուգվայ</t>
  </si>
  <si>
    <t>Արգենտինա</t>
  </si>
  <si>
    <t>Նիգերիա</t>
  </si>
  <si>
    <t>Հունաստան</t>
  </si>
  <si>
    <t>Անգլիա</t>
  </si>
  <si>
    <t>Գերմանիա</t>
  </si>
  <si>
    <t>Ավստրալիա</t>
  </si>
  <si>
    <t>Գանա</t>
  </si>
  <si>
    <t>Ճապոնիա</t>
  </si>
  <si>
    <t>Կամերուն</t>
  </si>
  <si>
    <t>Իտալիա</t>
  </si>
  <si>
    <t>Բրազիլիա</t>
  </si>
  <si>
    <t>Պորտուգալիա</t>
  </si>
  <si>
    <t>Իսպանիա</t>
  </si>
  <si>
    <t>Շվեյցարիա</t>
  </si>
  <si>
    <t>Հոնդուրաս</t>
  </si>
  <si>
    <t>Չիլի</t>
  </si>
  <si>
    <t>Babak Kualifikasi</t>
  </si>
  <si>
    <t>Per Delapan Final</t>
  </si>
  <si>
    <t>Perebutan Tempat Ketiga</t>
  </si>
  <si>
    <t>Kelompok</t>
  </si>
  <si>
    <t>Seri</t>
  </si>
  <si>
    <t xml:space="preserve">Skor </t>
  </si>
  <si>
    <t>Nilai</t>
  </si>
  <si>
    <t>Min</t>
  </si>
  <si>
    <t>Peb</t>
  </si>
  <si>
    <t>Agu</t>
  </si>
  <si>
    <t>Nop</t>
  </si>
  <si>
    <t>Tim</t>
  </si>
  <si>
    <t>Aljazair</t>
  </si>
  <si>
    <t>Australi</t>
  </si>
  <si>
    <t>Croatian</t>
  </si>
  <si>
    <t>Prvi krug</t>
  </si>
  <si>
    <t>Drugi krug</t>
  </si>
  <si>
    <t>Sri</t>
  </si>
  <si>
    <t>Sij</t>
  </si>
  <si>
    <t>Vel</t>
  </si>
  <si>
    <t>Ožu</t>
  </si>
  <si>
    <t>Tra</t>
  </si>
  <si>
    <t>Svi</t>
  </si>
  <si>
    <t>Srp</t>
  </si>
  <si>
    <t>Kol</t>
  </si>
  <si>
    <t>Ruj</t>
  </si>
  <si>
    <t>Stu</t>
  </si>
  <si>
    <t>Pro</t>
  </si>
  <si>
    <t>Obala Bjelokosti</t>
  </si>
  <si>
    <t>Španjolska</t>
  </si>
  <si>
    <t>Груповий етап</t>
  </si>
  <si>
    <t>1/8 фіналу</t>
  </si>
  <si>
    <t>Чвертьфінал</t>
  </si>
  <si>
    <t>Півфінал</t>
  </si>
  <si>
    <t>Матч за третє місце</t>
  </si>
  <si>
    <t>Фінал</t>
  </si>
  <si>
    <t>І</t>
  </si>
  <si>
    <t xml:space="preserve">М </t>
  </si>
  <si>
    <t>Нд</t>
  </si>
  <si>
    <t>Січ</t>
  </si>
  <si>
    <t>Лют</t>
  </si>
  <si>
    <t>Бер</t>
  </si>
  <si>
    <t>Квіт</t>
  </si>
  <si>
    <t>Трав</t>
  </si>
  <si>
    <t>Черв</t>
  </si>
  <si>
    <t>Лип</t>
  </si>
  <si>
    <t>Серп</t>
  </si>
  <si>
    <t>Вер</t>
  </si>
  <si>
    <t>Жовт</t>
  </si>
  <si>
    <t>Лист</t>
  </si>
  <si>
    <t>Груд</t>
  </si>
  <si>
    <t>Франція</t>
  </si>
  <si>
    <t>Нігерія</t>
  </si>
  <si>
    <t>Південна Корея</t>
  </si>
  <si>
    <t>Греція</t>
  </si>
  <si>
    <t>Англія</t>
  </si>
  <si>
    <t>Німеччина</t>
  </si>
  <si>
    <t>Австралія</t>
  </si>
  <si>
    <t>Нідерланди</t>
  </si>
  <si>
    <t>Японія</t>
  </si>
  <si>
    <t>Італія</t>
  </si>
  <si>
    <t>Бразилія</t>
  </si>
  <si>
    <t>Португалія</t>
  </si>
  <si>
    <t>Іспанія</t>
  </si>
  <si>
    <t>Швейцарія</t>
  </si>
  <si>
    <t>Чилі</t>
  </si>
  <si>
    <t>Переможець 49</t>
  </si>
  <si>
    <t>Переможець 50</t>
  </si>
  <si>
    <t>Переможець 51</t>
  </si>
  <si>
    <t>Переможець 52</t>
  </si>
  <si>
    <t>Переможець 53</t>
  </si>
  <si>
    <t>Переможець 54</t>
  </si>
  <si>
    <t>Переможець 55</t>
  </si>
  <si>
    <t>Переможець 56</t>
  </si>
  <si>
    <t>Переможець 57</t>
  </si>
  <si>
    <t>Переможець 58</t>
  </si>
  <si>
    <t>Переможець 59</t>
  </si>
  <si>
    <t>Переможець 60</t>
  </si>
  <si>
    <t>Переможець 61</t>
  </si>
  <si>
    <t>Переможець 62</t>
  </si>
  <si>
    <t>Переможений 61</t>
  </si>
  <si>
    <t>Переможений 62</t>
  </si>
  <si>
    <t>Ukrainian</t>
  </si>
  <si>
    <t>GF - GK</t>
  </si>
  <si>
    <t>Åttondelsfinal</t>
  </si>
  <si>
    <t>Match om tredje pris</t>
  </si>
  <si>
    <t>Sydkorea</t>
  </si>
  <si>
    <t>Nederländerna</t>
  </si>
  <si>
    <t>Group Stage</t>
  </si>
  <si>
    <t>Групповой Раунд</t>
  </si>
  <si>
    <t>Gruppenphase</t>
  </si>
  <si>
    <t>Phase de groupes</t>
  </si>
  <si>
    <t>Fase de grupos</t>
  </si>
  <si>
    <t>W</t>
  </si>
  <si>
    <t>D</t>
  </si>
  <si>
    <t>L</t>
  </si>
  <si>
    <t>Pnt</t>
  </si>
  <si>
    <t>Rank</t>
  </si>
  <si>
    <t>Team</t>
  </si>
  <si>
    <t>Place</t>
  </si>
  <si>
    <t>GF</t>
  </si>
  <si>
    <t>GA</t>
  </si>
  <si>
    <t>Final</t>
  </si>
  <si>
    <t>Quarterfinals</t>
  </si>
  <si>
    <t>Semi-Finals</t>
  </si>
  <si>
    <t>GF - GA</t>
  </si>
  <si>
    <t>English</t>
  </si>
  <si>
    <t>Russian</t>
  </si>
  <si>
    <t>Group</t>
  </si>
  <si>
    <t>Четвертьфиналы</t>
  </si>
  <si>
    <t>Полуфиналы</t>
  </si>
  <si>
    <t>Матч за Третье Место</t>
  </si>
  <si>
    <t>Финал</t>
  </si>
  <si>
    <t>Группа</t>
  </si>
  <si>
    <t>И</t>
  </si>
  <si>
    <t>П</t>
  </si>
  <si>
    <t>В</t>
  </si>
  <si>
    <t>З - П</t>
  </si>
  <si>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</si>
  <si>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</si>
  <si>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</si>
  <si>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</si>
  <si>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</si>
  <si>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</si>
  <si>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</si>
  <si>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</si>
  <si>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</si>
  <si>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</si>
  <si>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</si>
  <si>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</si>
  <si>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Команда</t>
  </si>
  <si>
    <t>Date + Time + GMT</t>
  </si>
  <si>
    <t>Switzerland</t>
  </si>
  <si>
    <t>France</t>
  </si>
  <si>
    <t>Germany</t>
  </si>
  <si>
    <t>Third-Place Play-Off</t>
  </si>
  <si>
    <t>German</t>
  </si>
  <si>
    <t>French</t>
  </si>
  <si>
    <t>Spanish</t>
  </si>
  <si>
    <t>GMT</t>
  </si>
  <si>
    <t>Language</t>
  </si>
  <si>
    <t>Viertelfinale</t>
  </si>
  <si>
    <t>Quart de Finale</t>
  </si>
  <si>
    <t>Cuartos de Final</t>
  </si>
  <si>
    <t>Halbfinale</t>
  </si>
  <si>
    <t>Demi-Finale</t>
  </si>
  <si>
    <t>Semifinales</t>
  </si>
  <si>
    <t>Match pour la troisième place</t>
  </si>
  <si>
    <t>Tercer puesto</t>
  </si>
  <si>
    <t>Finale</t>
  </si>
  <si>
    <t>Gruppe</t>
  </si>
  <si>
    <t>Groupe</t>
  </si>
  <si>
    <t>Grupo</t>
  </si>
  <si>
    <t>G</t>
  </si>
  <si>
    <t>V</t>
  </si>
  <si>
    <t>P</t>
  </si>
  <si>
    <t>Jan</t>
  </si>
  <si>
    <t>Feb</t>
  </si>
  <si>
    <t>Apr</t>
  </si>
  <si>
    <t>Mai</t>
  </si>
  <si>
    <t>Jun</t>
  </si>
  <si>
    <t>Jul</t>
  </si>
  <si>
    <t>Aug</t>
  </si>
  <si>
    <t>Sep</t>
  </si>
  <si>
    <t>Oct</t>
  </si>
  <si>
    <t>Nov</t>
  </si>
  <si>
    <t>Dez</t>
  </si>
  <si>
    <t>Juin</t>
  </si>
  <si>
    <t>Juil</t>
  </si>
  <si>
    <t>Summer Time</t>
  </si>
  <si>
    <t>GTM-Time</t>
  </si>
  <si>
    <t>GMT + 1:00</t>
  </si>
  <si>
    <t>Minutes</t>
  </si>
  <si>
    <t>+0 min</t>
  </si>
  <si>
    <t>GMT - 11:00</t>
  </si>
  <si>
    <t>GMT - 10:00</t>
  </si>
  <si>
    <t>GMT - 9:00</t>
  </si>
  <si>
    <t>GMT - 8:00</t>
  </si>
  <si>
    <t>GMT - 7:00</t>
  </si>
  <si>
    <t>GMT - 6:00</t>
  </si>
  <si>
    <t>GMT - 5:00</t>
  </si>
  <si>
    <t>GMT - 4:00</t>
  </si>
  <si>
    <t>GMT - 3:00</t>
  </si>
  <si>
    <t>GMT - 2:00</t>
  </si>
  <si>
    <t>GMT - 1:00</t>
  </si>
  <si>
    <t>GMT + 2:00</t>
  </si>
  <si>
    <t>GMT + 3:00</t>
  </si>
  <si>
    <t>GMT + 4:00</t>
  </si>
  <si>
    <t>GMT + 5:00</t>
  </si>
  <si>
    <t>GMT + 6:00</t>
  </si>
  <si>
    <t>GMT + 7:00</t>
  </si>
  <si>
    <t>GMT + 8:00</t>
  </si>
  <si>
    <t>GMT + 9:00</t>
  </si>
  <si>
    <t>GMT + 10:00</t>
  </si>
  <si>
    <t>GMT + 11:00</t>
  </si>
  <si>
    <t>GMT + 12:00</t>
  </si>
  <si>
    <t>+15 min</t>
  </si>
  <si>
    <t>+30 min</t>
  </si>
  <si>
    <t>+45 min</t>
  </si>
  <si>
    <t>Settings</t>
  </si>
  <si>
    <t>Language ID</t>
  </si>
  <si>
    <t>GMT Delta</t>
  </si>
  <si>
    <t>Вс</t>
  </si>
  <si>
    <t>Пн</t>
  </si>
  <si>
    <t>Вт</t>
  </si>
  <si>
    <t>Ср</t>
  </si>
  <si>
    <t>Чт</t>
  </si>
  <si>
    <t>Пт</t>
  </si>
  <si>
    <t>Сб</t>
  </si>
  <si>
    <t>Sun</t>
  </si>
  <si>
    <t>Mon</t>
  </si>
  <si>
    <t>Tue</t>
  </si>
  <si>
    <t>Wed</t>
  </si>
  <si>
    <t>Thu</t>
  </si>
  <si>
    <t>Fri</t>
  </si>
  <si>
    <t>Sat</t>
  </si>
  <si>
    <t>Mar</t>
  </si>
  <si>
    <t>May</t>
  </si>
  <si>
    <t>Dec</t>
  </si>
  <si>
    <t>S</t>
  </si>
  <si>
    <t>N</t>
  </si>
  <si>
    <t>ET - KT</t>
  </si>
  <si>
    <t>BP - BC</t>
  </si>
  <si>
    <t>GF - GC</t>
  </si>
  <si>
    <t>Janv</t>
  </si>
  <si>
    <t>Ene</t>
  </si>
  <si>
    <t>Févr</t>
  </si>
  <si>
    <t>Mrz</t>
  </si>
  <si>
    <t>Mars</t>
  </si>
  <si>
    <t>Avr</t>
  </si>
  <si>
    <t>Abr</t>
  </si>
  <si>
    <t>Août</t>
  </si>
  <si>
    <t>Ago</t>
  </si>
  <si>
    <t>Sept</t>
  </si>
  <si>
    <t>Okt</t>
  </si>
  <si>
    <t>Déc</t>
  </si>
  <si>
    <t>Dic</t>
  </si>
  <si>
    <t>PNT</t>
  </si>
  <si>
    <t>PKT</t>
  </si>
  <si>
    <t>PTS</t>
  </si>
  <si>
    <t>ОЧКИ</t>
  </si>
  <si>
    <t>PL</t>
  </si>
  <si>
    <t>SP</t>
  </si>
  <si>
    <t>J</t>
  </si>
  <si>
    <t>Équipe</t>
  </si>
  <si>
    <t>Equipo</t>
  </si>
  <si>
    <t>DRAW</t>
  </si>
  <si>
    <t>Н</t>
  </si>
  <si>
    <t>Mexico</t>
  </si>
  <si>
    <t>Uruguay</t>
  </si>
  <si>
    <t>Argentina</t>
  </si>
  <si>
    <t>Nigeria</t>
  </si>
  <si>
    <t>Korea Republic</t>
  </si>
  <si>
    <t>Greece</t>
  </si>
  <si>
    <t>England</t>
  </si>
  <si>
    <t>USA</t>
  </si>
  <si>
    <t>Algeria</t>
  </si>
  <si>
    <t>Australia</t>
  </si>
  <si>
    <t>Ghana</t>
  </si>
  <si>
    <t>Netherlands</t>
  </si>
  <si>
    <t>Japan</t>
  </si>
  <si>
    <t>Cameroon</t>
  </si>
  <si>
    <t>Italy</t>
  </si>
  <si>
    <t>Brazil</t>
  </si>
  <si>
    <t>Côte d'Ivoire</t>
  </si>
  <si>
    <t>Portugal</t>
  </si>
  <si>
    <t>Spain</t>
  </si>
  <si>
    <t>Honduras</t>
  </si>
  <si>
    <t>Chile</t>
  </si>
  <si>
    <t>R</t>
  </si>
  <si>
    <t>Delta</t>
  </si>
  <si>
    <t>Round of 16</t>
  </si>
  <si>
    <t>1/8 Финала</t>
  </si>
  <si>
    <t>W49</t>
  </si>
  <si>
    <t>W50</t>
  </si>
  <si>
    <t>W51</t>
  </si>
  <si>
    <t>W52</t>
  </si>
  <si>
    <t>W53</t>
  </si>
  <si>
    <t>W54</t>
  </si>
  <si>
    <t>W55</t>
  </si>
  <si>
    <t>W56</t>
  </si>
  <si>
    <t>FIFA Rank</t>
  </si>
  <si>
    <t>itype</t>
  </si>
  <si>
    <t>Step #1</t>
  </si>
  <si>
    <t>Step #2</t>
  </si>
  <si>
    <t>Step #3</t>
  </si>
  <si>
    <t>Step #4</t>
  </si>
  <si>
    <t>Step #5</t>
  </si>
  <si>
    <t>Achtelfinale</t>
  </si>
  <si>
    <t>Spiel um den dritten Platz</t>
  </si>
  <si>
    <t>1A</t>
  </si>
  <si>
    <t>2A</t>
  </si>
  <si>
    <t>1B</t>
  </si>
  <si>
    <t>2B</t>
  </si>
  <si>
    <t>1C</t>
  </si>
  <si>
    <t>2C</t>
  </si>
  <si>
    <t>1D</t>
  </si>
  <si>
    <t>2D</t>
  </si>
  <si>
    <t>1E</t>
  </si>
  <si>
    <t>2E</t>
  </si>
  <si>
    <t>1F</t>
  </si>
  <si>
    <t>2F</t>
  </si>
  <si>
    <t>1G</t>
  </si>
  <si>
    <t>2G</t>
  </si>
  <si>
    <t>1H</t>
  </si>
  <si>
    <t>2H</t>
  </si>
  <si>
    <t>Huitièmes de finale</t>
  </si>
  <si>
    <t>Octavos de final</t>
  </si>
  <si>
    <t>México</t>
  </si>
  <si>
    <t>Francia</t>
  </si>
  <si>
    <t>República de Corea</t>
  </si>
  <si>
    <t>Grecia</t>
  </si>
  <si>
    <t>Inglaterra</t>
  </si>
  <si>
    <t>Argelia</t>
  </si>
  <si>
    <t>Alemania</t>
  </si>
  <si>
    <t>Países Bajos</t>
  </si>
  <si>
    <t>Japón</t>
  </si>
  <si>
    <t>Camerún</t>
  </si>
  <si>
    <t>Italia</t>
  </si>
  <si>
    <t>Brasil</t>
  </si>
  <si>
    <t>España</t>
  </si>
  <si>
    <t>Suiza</t>
  </si>
  <si>
    <t>Mexique</t>
  </si>
  <si>
    <t>Argentine</t>
  </si>
  <si>
    <t>République de Corée</t>
  </si>
  <si>
    <t>Grèce</t>
  </si>
  <si>
    <t>Angleterre</t>
  </si>
  <si>
    <t>Algérie</t>
  </si>
  <si>
    <t>Allemagne</t>
  </si>
  <si>
    <t>Australie</t>
  </si>
  <si>
    <t>Pays-Bas</t>
  </si>
  <si>
    <t>Japon</t>
  </si>
  <si>
    <t>Cameroun</t>
  </si>
  <si>
    <t>Italie</t>
  </si>
  <si>
    <t>Brésil</t>
  </si>
  <si>
    <t>Chili</t>
  </si>
  <si>
    <t>Espagne</t>
  </si>
  <si>
    <t>Suisse</t>
  </si>
  <si>
    <t>Mexiko</t>
  </si>
  <si>
    <t>Frankreich</t>
  </si>
  <si>
    <t>Argentinien</t>
  </si>
  <si>
    <t>Korea Republik</t>
  </si>
  <si>
    <t>Griechenland</t>
  </si>
  <si>
    <t>Algerien</t>
  </si>
  <si>
    <t>Deutschland</t>
  </si>
  <si>
    <t>Australien</t>
  </si>
  <si>
    <t>Niederlande</t>
  </si>
  <si>
    <t>Kamerun</t>
  </si>
  <si>
    <t>Italien</t>
  </si>
  <si>
    <t>Brasilien</t>
  </si>
  <si>
    <t>Spanien</t>
  </si>
  <si>
    <t>Schweiz</t>
  </si>
  <si>
    <t>W57</t>
  </si>
  <si>
    <t>W58</t>
  </si>
  <si>
    <t>W59</t>
  </si>
  <si>
    <t>W60</t>
  </si>
  <si>
    <t>W61</t>
  </si>
  <si>
    <t>W62</t>
  </si>
  <si>
    <t>L61</t>
  </si>
  <si>
    <t>L62</t>
  </si>
  <si>
    <t>Мексика</t>
  </si>
  <si>
    <t>Уругвай</t>
  </si>
  <si>
    <t>Франция</t>
  </si>
  <si>
    <t>Аргентина</t>
  </si>
  <si>
    <t>Нигерия</t>
  </si>
  <si>
    <t>Греция</t>
  </si>
  <si>
    <t>Англия</t>
  </si>
  <si>
    <t>США</t>
  </si>
  <si>
    <t>Алжир</t>
  </si>
  <si>
    <t>Германия</t>
  </si>
  <si>
    <t>Австралия</t>
  </si>
  <si>
    <t>Гана</t>
  </si>
  <si>
    <t>Нидерланды</t>
  </si>
  <si>
    <t>Япония</t>
  </si>
  <si>
    <t>Камерун</t>
  </si>
  <si>
    <t>Италия</t>
  </si>
  <si>
    <t>Бразилия</t>
  </si>
  <si>
    <t>Португалия</t>
  </si>
  <si>
    <t>Испания</t>
  </si>
  <si>
    <t>Швейцария</t>
  </si>
  <si>
    <t>Гондурас</t>
  </si>
  <si>
    <t>Чили</t>
  </si>
  <si>
    <t>Dutch</t>
  </si>
  <si>
    <t>Groepsfase</t>
  </si>
  <si>
    <t>Achtste finales</t>
  </si>
  <si>
    <t>Kwartfinales</t>
  </si>
  <si>
    <t>Halve finales</t>
  </si>
  <si>
    <t>Derde en vierde plaats</t>
  </si>
  <si>
    <t>Groep</t>
  </si>
  <si>
    <t>WG</t>
  </si>
  <si>
    <t>DV-DT</t>
  </si>
  <si>
    <t>Zo</t>
  </si>
  <si>
    <t>Ma</t>
  </si>
  <si>
    <t>Di</t>
  </si>
  <si>
    <t>Wo</t>
  </si>
  <si>
    <t>Do</t>
  </si>
  <si>
    <t>Vr</t>
  </si>
  <si>
    <t>Za</t>
  </si>
  <si>
    <t>Mrt</t>
  </si>
  <si>
    <t>Mei</t>
  </si>
  <si>
    <t>Frankrijk</t>
  </si>
  <si>
    <t>Argentinië</t>
  </si>
  <si>
    <t>Zuid-Korea</t>
  </si>
  <si>
    <t>Griekenland</t>
  </si>
  <si>
    <t>Engeland</t>
  </si>
  <si>
    <t>Algerije</t>
  </si>
  <si>
    <t>Duitsland</t>
  </si>
  <si>
    <t>Australië</t>
  </si>
  <si>
    <t>Nederland</t>
  </si>
  <si>
    <t>Kameroen</t>
  </si>
  <si>
    <t>Italië</t>
  </si>
  <si>
    <t>Brazilië</t>
  </si>
  <si>
    <t>Ivoorkust</t>
  </si>
  <si>
    <t>Spanje</t>
  </si>
  <si>
    <t>Zwitserland</t>
  </si>
  <si>
    <t>A1</t>
  </si>
  <si>
    <t>A2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</si>
  <si>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</si>
  <si>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</si>
  <si>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</si>
  <si>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</si>
  <si>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</si>
  <si>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</si>
  <si>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</si>
  <si>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</si>
  <si>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</si>
  <si>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F2</t>
  </si>
  <si>
    <t>G1</t>
  </si>
  <si>
    <t>G2</t>
  </si>
  <si>
    <t>H1</t>
  </si>
  <si>
    <t>H2</t>
  </si>
  <si>
    <t>V61</t>
  </si>
  <si>
    <t>V62</t>
  </si>
  <si>
    <t>مرحله گروهی</t>
  </si>
  <si>
    <t>یک چهارم نهائی</t>
  </si>
  <si>
    <t>نیمه نهائی</t>
  </si>
  <si>
    <t>رده بندی</t>
  </si>
  <si>
    <t>فینال</t>
  </si>
  <si>
    <t>گروه</t>
  </si>
  <si>
    <t>بازی</t>
  </si>
  <si>
    <t>برد</t>
  </si>
  <si>
    <t>مساوی</t>
  </si>
  <si>
    <t>باخت</t>
  </si>
  <si>
    <t>خورده-زده</t>
  </si>
  <si>
    <t>امتیاز</t>
  </si>
  <si>
    <t>یکشنبه</t>
  </si>
  <si>
    <t>دوشنبه</t>
  </si>
  <si>
    <t>سه شنبه</t>
  </si>
  <si>
    <t>چهارشنبه</t>
  </si>
  <si>
    <t>پنجشنبه</t>
  </si>
  <si>
    <t>جمعه</t>
  </si>
  <si>
    <t>شنبه</t>
  </si>
  <si>
    <t>زانویه</t>
  </si>
  <si>
    <t>فوریه</t>
  </si>
  <si>
    <t>مارس</t>
  </si>
  <si>
    <t>آوریل</t>
  </si>
  <si>
    <t>می</t>
  </si>
  <si>
    <t>ژوئن</t>
  </si>
  <si>
    <t>ژولای</t>
  </si>
  <si>
    <t>اگوست</t>
  </si>
  <si>
    <t>سپتامبر</t>
  </si>
  <si>
    <t>اکتبر</t>
  </si>
  <si>
    <t>نوامبر</t>
  </si>
  <si>
    <t>دسامبر</t>
  </si>
  <si>
    <t>تیم</t>
  </si>
  <si>
    <t>مکزیک</t>
  </si>
  <si>
    <t>اروگوئه</t>
  </si>
  <si>
    <t>فرانسه</t>
  </si>
  <si>
    <t>آرژانتین</t>
  </si>
  <si>
    <t>نیجریه</t>
  </si>
  <si>
    <t>کره جنوبی</t>
  </si>
  <si>
    <t>یونان</t>
  </si>
  <si>
    <t>الجزایر</t>
  </si>
  <si>
    <t>آلمان</t>
  </si>
  <si>
    <t>استرالیا</t>
  </si>
  <si>
    <t>غنا</t>
  </si>
  <si>
    <t>هلند</t>
  </si>
  <si>
    <t>ژاپن</t>
  </si>
  <si>
    <t>کامرون</t>
  </si>
  <si>
    <t>ایتالیا</t>
  </si>
  <si>
    <t>برزیل</t>
  </si>
  <si>
    <t>ساحل عاج</t>
  </si>
  <si>
    <t>هندوراس</t>
  </si>
  <si>
    <t>شیلی</t>
  </si>
  <si>
    <t>Grup Aşaması</t>
  </si>
  <si>
    <t>Son 16</t>
  </si>
  <si>
    <t>Çeyrek Final</t>
  </si>
  <si>
    <t>Yarı Final</t>
  </si>
  <si>
    <t>Üçüncülük Maçı</t>
  </si>
  <si>
    <t>Grup</t>
  </si>
  <si>
    <t>O</t>
  </si>
  <si>
    <t>B</t>
  </si>
  <si>
    <t>M</t>
  </si>
  <si>
    <t>A - Y</t>
  </si>
  <si>
    <t>Paz</t>
  </si>
  <si>
    <t>Pzt</t>
  </si>
  <si>
    <t>Sal</t>
  </si>
  <si>
    <t>Çar</t>
  </si>
  <si>
    <t>Per</t>
  </si>
  <si>
    <t>Cum</t>
  </si>
  <si>
    <t>Cmt</t>
  </si>
  <si>
    <t>Oca</t>
  </si>
  <si>
    <t>Şub</t>
  </si>
  <si>
    <t>Nis</t>
  </si>
  <si>
    <t>Haz</t>
  </si>
  <si>
    <t>Tem</t>
  </si>
  <si>
    <t>Ağu</t>
  </si>
  <si>
    <t>Eyl</t>
  </si>
  <si>
    <t>Eki</t>
  </si>
  <si>
    <t>Kas</t>
  </si>
  <si>
    <t>Ara</t>
  </si>
  <si>
    <t>Takım</t>
  </si>
  <si>
    <t>Meksika</t>
  </si>
  <si>
    <t>Fransa</t>
  </si>
  <si>
    <t>Arjantin</t>
  </si>
  <si>
    <t>Nijerya</t>
  </si>
  <si>
    <t>Yunanistan</t>
  </si>
  <si>
    <t>İngiltere</t>
  </si>
  <si>
    <t>Cezayir</t>
  </si>
  <si>
    <t>Almanya</t>
  </si>
  <si>
    <t>Avustralya</t>
  </si>
  <si>
    <t>Gana</t>
  </si>
  <si>
    <t>Hollanda</t>
  </si>
  <si>
    <t>Japonya</t>
  </si>
  <si>
    <t>İtalya</t>
  </si>
  <si>
    <t>Brezilya</t>
  </si>
  <si>
    <t>Fildişi Sahili</t>
  </si>
  <si>
    <t>Portekiz</t>
  </si>
  <si>
    <t>İspanya</t>
  </si>
  <si>
    <t>İsviçre</t>
  </si>
  <si>
    <t>Şili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</si>
  <si>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</si>
  <si>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</si>
  <si>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</si>
  <si>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</si>
  <si>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</si>
  <si>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</si>
  <si>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</si>
  <si>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</si>
  <si>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</si>
  <si>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</si>
  <si>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</si>
  <si>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</si>
  <si>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</si>
  <si>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</si>
  <si>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M61</t>
  </si>
  <si>
    <t>M62</t>
  </si>
  <si>
    <t>Turkish</t>
  </si>
  <si>
    <t>Arabic</t>
  </si>
  <si>
    <t>المجموعة</t>
  </si>
  <si>
    <t>لعب</t>
  </si>
  <si>
    <t>فاز</t>
  </si>
  <si>
    <t>تعادل</t>
  </si>
  <si>
    <t>خسر</t>
  </si>
  <si>
    <t>النقاط</t>
  </si>
  <si>
    <t>الأحد</t>
  </si>
  <si>
    <t>الاثنين</t>
  </si>
  <si>
    <t>الثلاثاء</t>
  </si>
  <si>
    <t>الخميس</t>
  </si>
  <si>
    <t>الجمعة</t>
  </si>
  <si>
    <t>السبت</t>
  </si>
  <si>
    <t>المكسيك</t>
  </si>
  <si>
    <t>فرنسا</t>
  </si>
  <si>
    <t>الأرجنتين</t>
  </si>
  <si>
    <t>نيجيريا</t>
  </si>
  <si>
    <t>الجزائر</t>
  </si>
  <si>
    <t>ألمانيا</t>
  </si>
  <si>
    <t>أستراليا</t>
  </si>
  <si>
    <t>غانا</t>
  </si>
  <si>
    <t>هولندا</t>
  </si>
  <si>
    <t>اليابان</t>
  </si>
  <si>
    <t>الكاميرون</t>
  </si>
  <si>
    <t>البرازيل</t>
  </si>
  <si>
    <t>البرتغال</t>
  </si>
  <si>
    <t>سويسرا</t>
  </si>
  <si>
    <t xml:space="preserve"> یک هشتم نهائی</t>
  </si>
  <si>
    <t>Persian</t>
  </si>
  <si>
    <t>اول گروه A</t>
  </si>
  <si>
    <t>دوم گروه A</t>
  </si>
  <si>
    <t>اول گروه B</t>
  </si>
  <si>
    <t>دوم گروهB</t>
  </si>
  <si>
    <t>اول گروه C</t>
  </si>
  <si>
    <t>دوم گروه C</t>
  </si>
  <si>
    <t>اول گروه D</t>
  </si>
  <si>
    <t>دوم گروه D</t>
  </si>
  <si>
    <t>اول گروه E</t>
  </si>
  <si>
    <t>دوم گروه E</t>
  </si>
  <si>
    <t>اول گروه F</t>
  </si>
  <si>
    <t>دوم گروه F</t>
  </si>
  <si>
    <t>اول گروه G</t>
  </si>
  <si>
    <t>دوم گروه G</t>
  </si>
  <si>
    <t>اول گروه H</t>
  </si>
  <si>
    <t>دوم گروه H</t>
  </si>
  <si>
    <t>برنده بازی 49</t>
  </si>
  <si>
    <t>برنده بازی 50</t>
  </si>
  <si>
    <t>برنده بازی 51</t>
  </si>
  <si>
    <t>برنده بازی 52</t>
  </si>
  <si>
    <t>برنده بازی 53</t>
  </si>
  <si>
    <t>برنده بازی 54</t>
  </si>
  <si>
    <t>برنده بازی 55</t>
  </si>
  <si>
    <t>برنده بازی 56</t>
  </si>
  <si>
    <t>برنده بازی 57</t>
  </si>
  <si>
    <t>برنده بازی 58</t>
  </si>
  <si>
    <t>برنده بازی 59</t>
  </si>
  <si>
    <t>برنده بازی 60</t>
  </si>
  <si>
    <t>برنده بازی 61</t>
  </si>
  <si>
    <t>برنده بازی 62</t>
  </si>
  <si>
    <t>بازنده بازی 61</t>
  </si>
  <si>
    <t>بازنده بازی 62</t>
  </si>
  <si>
    <t>Indonesia</t>
  </si>
  <si>
    <t>Perempat Final</t>
  </si>
  <si>
    <t>Semi Final</t>
  </si>
  <si>
    <t>Main</t>
  </si>
  <si>
    <t>Menang</t>
  </si>
  <si>
    <t>Kalah</t>
  </si>
  <si>
    <t>Sen</t>
  </si>
  <si>
    <t>Sel</t>
  </si>
  <si>
    <t>Rab</t>
  </si>
  <si>
    <t>Kam</t>
  </si>
  <si>
    <t>Jum</t>
  </si>
  <si>
    <t>Sab</t>
  </si>
  <si>
    <t>Perancis</t>
  </si>
  <si>
    <t>Yunani</t>
  </si>
  <si>
    <t>Inggris</t>
  </si>
  <si>
    <t>Jerman</t>
  </si>
  <si>
    <t>Belanda</t>
  </si>
  <si>
    <t>Jepang</t>
  </si>
  <si>
    <t>Spanyol</t>
  </si>
  <si>
    <t>Swiss</t>
  </si>
  <si>
    <t>Català</t>
  </si>
  <si>
    <t>Fase de grups</t>
  </si>
  <si>
    <t>Vuitens de final</t>
  </si>
  <si>
    <t>Quarts de final</t>
  </si>
  <si>
    <t>Semifinals</t>
  </si>
  <si>
    <t>3r i 4t lloc</t>
  </si>
  <si>
    <t>E</t>
  </si>
  <si>
    <t>Punts</t>
  </si>
  <si>
    <t>Diu</t>
  </si>
  <si>
    <t>Dil</t>
  </si>
  <si>
    <t>Dim</t>
  </si>
  <si>
    <t>Dix</t>
  </si>
  <si>
    <t>Dij</t>
  </si>
  <si>
    <t>Div</t>
  </si>
  <si>
    <t>Dis</t>
  </si>
  <si>
    <t>Gen</t>
  </si>
  <si>
    <t>Set</t>
  </si>
  <si>
    <t>Des</t>
  </si>
  <si>
    <t>Equip</t>
  </si>
  <si>
    <t>Mèxic</t>
  </si>
  <si>
    <t>Uruguai</t>
  </si>
  <si>
    <t>França</t>
  </si>
  <si>
    <t>Nigèria</t>
  </si>
  <si>
    <t>Corea del Sud</t>
  </si>
  <si>
    <t>Grècia</t>
  </si>
  <si>
    <t>Anglaterra</t>
  </si>
  <si>
    <t>Algèria</t>
  </si>
  <si>
    <t>Alemanya</t>
  </si>
  <si>
    <t>Austràlia</t>
  </si>
  <si>
    <t>Holanda</t>
  </si>
  <si>
    <t>Japó</t>
  </si>
  <si>
    <t>Camerun</t>
  </si>
  <si>
    <t>Itàlia</t>
  </si>
  <si>
    <t>Espanya</t>
  </si>
  <si>
    <t>Suïssa</t>
  </si>
  <si>
    <t>Hondures</t>
  </si>
  <si>
    <t>Xile</t>
  </si>
  <si>
    <t>P61</t>
  </si>
  <si>
    <t>P62</t>
  </si>
  <si>
    <t>Φάση Ομίλων</t>
  </si>
  <si>
    <t>Φάση των 16</t>
  </si>
  <si>
    <t>Προημιτελικοί</t>
  </si>
  <si>
    <t>Ημιτελικοί</t>
  </si>
  <si>
    <t>Μικρός Τελικός</t>
  </si>
  <si>
    <t>Τελικός</t>
  </si>
  <si>
    <t>Όμιλος</t>
  </si>
  <si>
    <t>ΑΓ</t>
  </si>
  <si>
    <t>Ν</t>
  </si>
  <si>
    <t>Ι</t>
  </si>
  <si>
    <t xml:space="preserve">Η </t>
  </si>
  <si>
    <t>Υ-Κ</t>
  </si>
  <si>
    <t>ΒΘ</t>
  </si>
  <si>
    <t>Κυρ</t>
  </si>
  <si>
    <t>Δευ</t>
  </si>
  <si>
    <t>Τρι</t>
  </si>
  <si>
    <t>Τετ</t>
  </si>
  <si>
    <t>Πεμ</t>
  </si>
  <si>
    <t>Παρ</t>
  </si>
  <si>
    <t>Σαβ</t>
  </si>
  <si>
    <t>Ιαν</t>
  </si>
  <si>
    <t>Φεβ</t>
  </si>
  <si>
    <t>Μαρ</t>
  </si>
  <si>
    <t>Απρ</t>
  </si>
  <si>
    <t>Μαϊ</t>
  </si>
  <si>
    <t>Ιουν</t>
  </si>
  <si>
    <t>Ιουλ</t>
  </si>
  <si>
    <t>Αυγ</t>
  </si>
  <si>
    <t>Σεπ</t>
  </si>
  <si>
    <t>Οκτ</t>
  </si>
  <si>
    <t>Νοε</t>
  </si>
  <si>
    <t>Δεκ</t>
  </si>
  <si>
    <t>Ομάδα</t>
  </si>
  <si>
    <t>Μεξικό</t>
  </si>
  <si>
    <t>Ουρουγουάη</t>
  </si>
  <si>
    <t>Γαλλία</t>
  </si>
  <si>
    <t>Αργεντινή</t>
  </si>
  <si>
    <t>Νιγηρία</t>
  </si>
  <si>
    <t>Ελλάδα</t>
  </si>
  <si>
    <t>Αγγλία</t>
  </si>
  <si>
    <t>ΗΠΑ</t>
  </si>
  <si>
    <t>Αλγερία</t>
  </si>
  <si>
    <t>Γερμανία</t>
  </si>
  <si>
    <t>Αυστραλία</t>
  </si>
  <si>
    <t>Γκάνα</t>
  </si>
  <si>
    <t>Ολλανδία</t>
  </si>
  <si>
    <t>Ιαπωνία</t>
  </si>
  <si>
    <t>Καμερούν</t>
  </si>
  <si>
    <t>Ιταλία</t>
  </si>
  <si>
    <t>Βραζιλία</t>
  </si>
  <si>
    <t>Πορτογαλία</t>
  </si>
  <si>
    <t>Ισπανία</t>
  </si>
  <si>
    <t>Ελβετία</t>
  </si>
  <si>
    <t>Ονδούρα</t>
  </si>
  <si>
    <t>Χιλή</t>
  </si>
  <si>
    <t>1Γ</t>
  </si>
  <si>
    <t>2Γ</t>
  </si>
  <si>
    <t>1Δ</t>
  </si>
  <si>
    <t>2Δ</t>
  </si>
  <si>
    <t>1Ε</t>
  </si>
  <si>
    <t>2Ε</t>
  </si>
  <si>
    <t>1ΣΤ</t>
  </si>
  <si>
    <t>2ΣΤ</t>
  </si>
  <si>
    <t>1Ζ</t>
  </si>
  <si>
    <t>2Ζ</t>
  </si>
  <si>
    <t>Ν49</t>
  </si>
  <si>
    <t>Ν50</t>
  </si>
  <si>
    <t>Ν51</t>
  </si>
  <si>
    <t>Ν52</t>
  </si>
  <si>
    <t>Ν53</t>
  </si>
  <si>
    <t>Ν54</t>
  </si>
  <si>
    <t>Ν55</t>
  </si>
  <si>
    <t>Ν56</t>
  </si>
  <si>
    <t>Ν57</t>
  </si>
  <si>
    <t>Ν58</t>
  </si>
  <si>
    <t>Ν59</t>
  </si>
  <si>
    <t>Ν60</t>
  </si>
  <si>
    <t>Ν61</t>
  </si>
  <si>
    <t>Ν62</t>
  </si>
  <si>
    <t>Η61</t>
  </si>
  <si>
    <t>Η62</t>
  </si>
  <si>
    <t>Greek</t>
  </si>
  <si>
    <t>Semifinali</t>
  </si>
  <si>
    <t>Gruppo</t>
  </si>
  <si>
    <t>Punti</t>
  </si>
  <si>
    <t>Dom</t>
  </si>
  <si>
    <t>Lun</t>
  </si>
  <si>
    <t>Mer</t>
  </si>
  <si>
    <t>Gio</t>
  </si>
  <si>
    <t>Ven</t>
  </si>
  <si>
    <t>Mag</t>
  </si>
  <si>
    <t>Giu</t>
  </si>
  <si>
    <t>Lug</t>
  </si>
  <si>
    <t>Ott</t>
  </si>
  <si>
    <t>Squadra</t>
  </si>
  <si>
    <t>Messico</t>
  </si>
  <si>
    <t>Inghilterra</t>
  </si>
  <si>
    <t>Germania</t>
  </si>
  <si>
    <t>Olanda</t>
  </si>
  <si>
    <t>Giappone</t>
  </si>
  <si>
    <t>Brasile</t>
  </si>
  <si>
    <t>Portogallo</t>
  </si>
  <si>
    <t>Spagna</t>
  </si>
  <si>
    <t>Svizzera</t>
  </si>
  <si>
    <t>Cile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</si>
  <si>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</si>
  <si>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</si>
  <si>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</si>
  <si>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</si>
  <si>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</si>
  <si>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</si>
  <si>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</si>
  <si>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</si>
  <si>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</si>
  <si>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</si>
  <si>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</si>
  <si>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</si>
  <si>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Italian</t>
  </si>
  <si>
    <t>Azerbaijan</t>
  </si>
  <si>
    <t>Qrup Mərhələsi</t>
  </si>
  <si>
    <t>16-da bir raund</t>
  </si>
  <si>
    <t>Dörddə bir Final</t>
  </si>
  <si>
    <t>Yarım Final</t>
  </si>
  <si>
    <t>Üçüncü Yer Uğrunda</t>
  </si>
  <si>
    <t>Qrup</t>
  </si>
  <si>
    <t>Q</t>
  </si>
  <si>
    <t>H</t>
  </si>
  <si>
    <t>QV - QB</t>
  </si>
  <si>
    <t>Xal</t>
  </si>
  <si>
    <t>BE</t>
  </si>
  <si>
    <t>ÇA</t>
  </si>
  <si>
    <t>Ç</t>
  </si>
  <si>
    <t>CA</t>
  </si>
  <si>
    <t>C</t>
  </si>
  <si>
    <t>Ş</t>
  </si>
  <si>
    <t>Yan</t>
  </si>
  <si>
    <t>Fev</t>
  </si>
  <si>
    <t>İyn</t>
  </si>
  <si>
    <t>İyl</t>
  </si>
  <si>
    <t>Avq</t>
  </si>
  <si>
    <t>Noy</t>
  </si>
  <si>
    <t>Dek</t>
  </si>
  <si>
    <t>Komanda</t>
  </si>
  <si>
    <t>Uruqvay</t>
  </si>
  <si>
    <t>Koreya Respublikası</t>
  </si>
  <si>
    <t>Yunanıstan</t>
  </si>
  <si>
    <t>İngiltərə</t>
  </si>
  <si>
    <t>Almaniya</t>
  </si>
  <si>
    <t>Avstraliya</t>
  </si>
  <si>
    <t>Hollandiya</t>
  </si>
  <si>
    <t>Yaponiya</t>
  </si>
  <si>
    <t>İtaliya</t>
  </si>
  <si>
    <t>Braziliya</t>
  </si>
  <si>
    <t>Portuqaliya</t>
  </si>
  <si>
    <t>İspaniya</t>
  </si>
  <si>
    <t>İsveçrə</t>
  </si>
  <si>
    <t>Çili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</si>
  <si>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</si>
  <si>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</si>
  <si>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</si>
  <si>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</si>
  <si>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</si>
  <si>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</si>
  <si>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</si>
  <si>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</si>
  <si>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</si>
  <si>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</si>
  <si>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</si>
  <si>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</si>
  <si>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</si>
  <si>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</si>
  <si>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Bulgarian</t>
  </si>
  <si>
    <t>Групова фаза</t>
  </si>
  <si>
    <t>1/8 - финали</t>
  </si>
  <si>
    <t>1/4 - финали</t>
  </si>
  <si>
    <t>1/2 - финали</t>
  </si>
  <si>
    <t>Мач за трето място</t>
  </si>
  <si>
    <t>Група</t>
  </si>
  <si>
    <t>М</t>
  </si>
  <si>
    <t>Р</t>
  </si>
  <si>
    <t>З</t>
  </si>
  <si>
    <t>Гол. Разл.</t>
  </si>
  <si>
    <t>Т</t>
  </si>
  <si>
    <t>Нед</t>
  </si>
  <si>
    <t>Пон</t>
  </si>
  <si>
    <t>Сря</t>
  </si>
  <si>
    <t>Четв</t>
  </si>
  <si>
    <t>Пет</t>
  </si>
  <si>
    <t>Съб</t>
  </si>
  <si>
    <t>Януари</t>
  </si>
  <si>
    <t>Февруари</t>
  </si>
  <si>
    <t>Март</t>
  </si>
  <si>
    <t>Април</t>
  </si>
  <si>
    <t>Юни</t>
  </si>
  <si>
    <t>Юли</t>
  </si>
  <si>
    <t>Август</t>
  </si>
  <si>
    <t>Септември</t>
  </si>
  <si>
    <t>Октомври</t>
  </si>
  <si>
    <t>Ноември</t>
  </si>
  <si>
    <t>Декември</t>
  </si>
  <si>
    <t>Отбор</t>
  </si>
  <si>
    <t>Мексико</t>
  </si>
  <si>
    <t>Аржентина</t>
  </si>
  <si>
    <t>Гърция</t>
  </si>
  <si>
    <t>САЩ</t>
  </si>
  <si>
    <t>Холандия</t>
  </si>
  <si>
    <t>Хондурас</t>
  </si>
  <si>
    <t>分組賽</t>
  </si>
  <si>
    <t>十六強</t>
  </si>
  <si>
    <t>八強</t>
  </si>
  <si>
    <t>準決賽</t>
  </si>
  <si>
    <t>季軍賽</t>
  </si>
  <si>
    <t>總決賽</t>
  </si>
  <si>
    <t>小組</t>
  </si>
  <si>
    <t>賽</t>
  </si>
  <si>
    <t>勝</t>
  </si>
  <si>
    <t>和</t>
  </si>
  <si>
    <t>負</t>
  </si>
  <si>
    <t>得球 - 失球</t>
  </si>
  <si>
    <t>分數</t>
  </si>
  <si>
    <t>隊伍</t>
  </si>
  <si>
    <t>墨西哥</t>
  </si>
  <si>
    <t>烏拉圭</t>
  </si>
  <si>
    <t>法國</t>
  </si>
  <si>
    <t>阿根廷</t>
  </si>
  <si>
    <t>尼日利亞</t>
  </si>
  <si>
    <t>希臘</t>
  </si>
  <si>
    <t>美國</t>
  </si>
  <si>
    <t>阿爾及利亞</t>
  </si>
  <si>
    <t>德國</t>
  </si>
  <si>
    <t>澳大利亞</t>
  </si>
  <si>
    <t>加納</t>
  </si>
  <si>
    <t>荷蘭</t>
  </si>
  <si>
    <t>日本</t>
  </si>
  <si>
    <t>喀麥隆</t>
  </si>
  <si>
    <t>意大利</t>
  </si>
  <si>
    <t>巴西</t>
  </si>
  <si>
    <t>葡萄牙</t>
  </si>
  <si>
    <t>西班牙</t>
  </si>
  <si>
    <t>瑞士</t>
  </si>
  <si>
    <t>洪都拉斯</t>
  </si>
  <si>
    <t>智利</t>
  </si>
  <si>
    <t>Macedonian</t>
  </si>
  <si>
    <t>Фаза по групи</t>
  </si>
  <si>
    <t>1/8 финале</t>
  </si>
  <si>
    <t>1/4 финале</t>
  </si>
  <si>
    <t>1/2 финале</t>
  </si>
  <si>
    <t>Натпревар за трето место</t>
  </si>
  <si>
    <t>Финале</t>
  </si>
  <si>
    <t>Вто</t>
  </si>
  <si>
    <t>Сре</t>
  </si>
  <si>
    <t>Чет</t>
  </si>
  <si>
    <t>Саб</t>
  </si>
  <si>
    <t>Јан</t>
  </si>
  <si>
    <t>Мај</t>
  </si>
  <si>
    <t>Јун</t>
  </si>
  <si>
    <t>Јул</t>
  </si>
  <si>
    <t>Сеп</t>
  </si>
  <si>
    <t>Ное</t>
  </si>
  <si>
    <t>Тим</t>
  </si>
  <si>
    <t>Уругвај</t>
  </si>
  <si>
    <t>Франција</t>
  </si>
  <si>
    <t>Нигерија</t>
  </si>
  <si>
    <t>Република Кореја</t>
  </si>
  <si>
    <t>Грција</t>
  </si>
  <si>
    <t>Англија</t>
  </si>
  <si>
    <t>САД</t>
  </si>
  <si>
    <t>Холандија</t>
  </si>
  <si>
    <t>Јапонија</t>
  </si>
  <si>
    <t>Италија</t>
  </si>
  <si>
    <t>Бразил</t>
  </si>
  <si>
    <t>Португалија</t>
  </si>
  <si>
    <t>Шпанија</t>
  </si>
  <si>
    <t>Швајцарија</t>
  </si>
  <si>
    <t>Чиле</t>
  </si>
  <si>
    <t>П49</t>
  </si>
  <si>
    <t>П50</t>
  </si>
  <si>
    <t>П51</t>
  </si>
  <si>
    <t>П52</t>
  </si>
  <si>
    <t>П53</t>
  </si>
  <si>
    <t>П54</t>
  </si>
  <si>
    <t>П55</t>
  </si>
  <si>
    <t>П56</t>
  </si>
  <si>
    <t>П57</t>
  </si>
  <si>
    <t>П58</t>
  </si>
  <si>
    <t>П59</t>
  </si>
  <si>
    <t>П60</t>
  </si>
  <si>
    <t>П61</t>
  </si>
  <si>
    <t>П62</t>
  </si>
  <si>
    <t>И61</t>
  </si>
  <si>
    <t>И62</t>
  </si>
  <si>
    <t>Seg</t>
  </si>
  <si>
    <t>Ter</t>
  </si>
  <si>
    <t>Qua</t>
  </si>
  <si>
    <t>Qui</t>
  </si>
  <si>
    <t>Sex</t>
  </si>
  <si>
    <t>Out</t>
  </si>
  <si>
    <t>Nigéria</t>
  </si>
  <si>
    <t>Grécia</t>
  </si>
  <si>
    <t>EUA</t>
  </si>
  <si>
    <t>Algéria</t>
  </si>
  <si>
    <t>Alemanha</t>
  </si>
  <si>
    <t>Japão</t>
  </si>
  <si>
    <t>Camarões</t>
  </si>
  <si>
    <t>Espanha</t>
  </si>
  <si>
    <t>Suíça</t>
  </si>
  <si>
    <t>О</t>
  </si>
  <si>
    <t>Разлика</t>
  </si>
  <si>
    <t>Б</t>
  </si>
  <si>
    <t>Danish</t>
  </si>
  <si>
    <t>Gruppespil</t>
  </si>
  <si>
    <t>Runde af 16</t>
  </si>
  <si>
    <t>Kvartfinale</t>
  </si>
  <si>
    <t>Semifinale</t>
  </si>
  <si>
    <t>Tredjeplads Kamp</t>
  </si>
  <si>
    <t>Uafgjort</t>
  </si>
  <si>
    <t>T</t>
  </si>
  <si>
    <t>MF - MI</t>
  </si>
  <si>
    <t>Søn</t>
  </si>
  <si>
    <t>Man</t>
  </si>
  <si>
    <t>Tir</t>
  </si>
  <si>
    <t>Ons</t>
  </si>
  <si>
    <t>Tor</t>
  </si>
  <si>
    <t>Fre</t>
  </si>
  <si>
    <t>Lør</t>
  </si>
  <si>
    <t>Maj</t>
  </si>
  <si>
    <t>Hold</t>
  </si>
  <si>
    <t>Frankrig</t>
  </si>
  <si>
    <t>Grækenland</t>
  </si>
  <si>
    <t>Algeriet</t>
  </si>
  <si>
    <t>Tyskland</t>
  </si>
  <si>
    <t>Holland</t>
  </si>
  <si>
    <t>T61</t>
  </si>
  <si>
    <t>T62</t>
  </si>
  <si>
    <t>Georgian</t>
  </si>
  <si>
    <t>ჯგუფური ეტაპი</t>
  </si>
  <si>
    <t>მერვედფინალი</t>
  </si>
  <si>
    <t>მეოთხედფინალი</t>
  </si>
  <si>
    <t>ნახევარფინალი</t>
  </si>
  <si>
    <t>მესამე ადგილი</t>
  </si>
  <si>
    <t>ფინალი</t>
  </si>
  <si>
    <t>ჯგუფი</t>
  </si>
  <si>
    <t>თ</t>
  </si>
  <si>
    <t>მოგ</t>
  </si>
  <si>
    <t>ფრე</t>
  </si>
  <si>
    <t>წაგ</t>
  </si>
  <si>
    <t>გგ - მგ</t>
  </si>
  <si>
    <t>ქულა</t>
  </si>
  <si>
    <t>კვირა</t>
  </si>
  <si>
    <t>ორშ</t>
  </si>
  <si>
    <t>სამშ</t>
  </si>
  <si>
    <t>ოთხშ</t>
  </si>
  <si>
    <t>ხუთშ</t>
  </si>
  <si>
    <t>პარ</t>
  </si>
  <si>
    <t>შაბ</t>
  </si>
  <si>
    <t>იან</t>
  </si>
  <si>
    <t>თებ</t>
  </si>
  <si>
    <t>მარ</t>
  </si>
  <si>
    <t>აპრ</t>
  </si>
  <si>
    <t>მაი</t>
  </si>
  <si>
    <t>ივნ</t>
  </si>
  <si>
    <t>ივლ</t>
  </si>
  <si>
    <t>აგვ</t>
  </si>
  <si>
    <t>სექ</t>
  </si>
  <si>
    <t>ოქტ</t>
  </si>
  <si>
    <t>ნოე</t>
  </si>
  <si>
    <t>დეკ</t>
  </si>
  <si>
    <t>ნაკრები</t>
  </si>
  <si>
    <t>ჰოლანდია</t>
  </si>
  <si>
    <t>იაპონია</t>
  </si>
  <si>
    <t>ბრაზილია</t>
  </si>
  <si>
    <t>ჩილე</t>
  </si>
  <si>
    <t>მ49</t>
  </si>
  <si>
    <t>მ50</t>
  </si>
  <si>
    <t>მ51</t>
  </si>
  <si>
    <t>მ52</t>
  </si>
  <si>
    <t>მ53</t>
  </si>
  <si>
    <t>მ54</t>
  </si>
  <si>
    <t>მ55</t>
  </si>
  <si>
    <t>მ56</t>
  </si>
  <si>
    <t>მ57</t>
  </si>
  <si>
    <t>მ58</t>
  </si>
  <si>
    <t>მ59</t>
  </si>
  <si>
    <t>მ60</t>
  </si>
  <si>
    <t>მ61</t>
  </si>
  <si>
    <t>მ62</t>
  </si>
  <si>
    <t>წ61</t>
  </si>
  <si>
    <t>წ62</t>
  </si>
  <si>
    <t>Hungarian</t>
  </si>
  <si>
    <t>Csoportkörök</t>
  </si>
  <si>
    <t>Nyolcaddöntők</t>
  </si>
  <si>
    <t>Negyeddöntők</t>
  </si>
  <si>
    <t>Elődöntők</t>
  </si>
  <si>
    <t>Bronzmeccs</t>
  </si>
  <si>
    <t>Döntő</t>
  </si>
  <si>
    <t>Csoport</t>
  </si>
  <si>
    <t>GY</t>
  </si>
  <si>
    <t>Gólkül.</t>
  </si>
  <si>
    <t>Vas</t>
  </si>
  <si>
    <t>Hét</t>
  </si>
  <si>
    <t>Ke</t>
  </si>
  <si>
    <t>Sze</t>
  </si>
  <si>
    <t>Csü</t>
  </si>
  <si>
    <t>Pé</t>
  </si>
  <si>
    <t>Szo</t>
  </si>
  <si>
    <t>Már</t>
  </si>
  <si>
    <t>Ápr</t>
  </si>
  <si>
    <t>Máj</t>
  </si>
  <si>
    <t>Jún</t>
  </si>
  <si>
    <t>Júl</t>
  </si>
  <si>
    <t>Szep</t>
  </si>
  <si>
    <t>Csapat</t>
  </si>
  <si>
    <t>Mexikó</t>
  </si>
  <si>
    <t>Franciaország</t>
  </si>
  <si>
    <t>Argentína</t>
  </si>
  <si>
    <t>Dél-Korea</t>
  </si>
  <si>
    <t>Görögország</t>
  </si>
  <si>
    <t>Anglia</t>
  </si>
  <si>
    <t>Németország</t>
  </si>
  <si>
    <t>Ausztrália</t>
  </si>
  <si>
    <t>Ghána</t>
  </si>
  <si>
    <t>Hollandia</t>
  </si>
  <si>
    <t>Japán</t>
  </si>
  <si>
    <t>Olaszország</t>
  </si>
  <si>
    <t>Brazília</t>
  </si>
  <si>
    <t>Elefántcsontpart</t>
  </si>
  <si>
    <t>Portugália</t>
  </si>
  <si>
    <t>Spanyolország</t>
  </si>
  <si>
    <t>Svájc</t>
  </si>
  <si>
    <t>GY49</t>
  </si>
  <si>
    <t>GY50</t>
  </si>
  <si>
    <t>GY51</t>
  </si>
  <si>
    <t>GY52</t>
  </si>
  <si>
    <t>GY53</t>
  </si>
  <si>
    <t>GY54</t>
  </si>
  <si>
    <t>GY55</t>
  </si>
  <si>
    <t>GY56</t>
  </si>
  <si>
    <t>GY57</t>
  </si>
  <si>
    <t>GY58</t>
  </si>
  <si>
    <t>GY59</t>
  </si>
  <si>
    <t>GY60</t>
  </si>
  <si>
    <t>GY61</t>
  </si>
  <si>
    <t>GY62</t>
  </si>
  <si>
    <t>A labdarúgó-VB győztes csapata:</t>
  </si>
  <si>
    <t>Czech</t>
  </si>
  <si>
    <t>Základní skupiny</t>
  </si>
  <si>
    <t>Osmifinále</t>
  </si>
  <si>
    <t>Čtvrtfinále</t>
  </si>
  <si>
    <t>Semifinále</t>
  </si>
  <si>
    <t>Zápas o 3.místo</t>
  </si>
  <si>
    <t>Finále</t>
  </si>
  <si>
    <t>Skupina</t>
  </si>
  <si>
    <t>Z</t>
  </si>
  <si>
    <t>GV - GI</t>
  </si>
  <si>
    <t>Body</t>
  </si>
  <si>
    <t>Ne</t>
  </si>
  <si>
    <t>Po</t>
  </si>
  <si>
    <t>Út</t>
  </si>
  <si>
    <t>St</t>
  </si>
  <si>
    <t>Čt</t>
  </si>
  <si>
    <t>Pá</t>
  </si>
  <si>
    <t>So</t>
  </si>
  <si>
    <t>Čer</t>
  </si>
  <si>
    <t>Čec</t>
  </si>
  <si>
    <t>Francie</t>
  </si>
  <si>
    <t>Nigérie</t>
  </si>
  <si>
    <t>Řecko</t>
  </si>
  <si>
    <t>Anglie</t>
  </si>
  <si>
    <t>Alžírsko</t>
  </si>
  <si>
    <t>Německo</t>
  </si>
  <si>
    <t>Austrálie</t>
  </si>
  <si>
    <t>Nizozemí</t>
  </si>
  <si>
    <t>Japonsko</t>
  </si>
  <si>
    <t>Itálie</t>
  </si>
  <si>
    <t>Brazílie</t>
  </si>
  <si>
    <t>Pobřeží slonoviny</t>
  </si>
  <si>
    <t>Portugalsko</t>
  </si>
  <si>
    <t>Španělsko</t>
  </si>
  <si>
    <t>Švýcarsko</t>
  </si>
  <si>
    <t>Čile</t>
  </si>
  <si>
    <t>Vietnamese</t>
  </si>
  <si>
    <t>Vòng Bảng</t>
  </si>
  <si>
    <t>Vòng 1/16</t>
  </si>
  <si>
    <t>Tứ kết</t>
  </si>
  <si>
    <t>Bán kết</t>
  </si>
  <si>
    <t>Tranh hạng 3</t>
  </si>
  <si>
    <t>Chung Kết</t>
  </si>
  <si>
    <t>Bảng</t>
  </si>
  <si>
    <t>Trận</t>
  </si>
  <si>
    <t>Hiệu số</t>
  </si>
  <si>
    <t>Điểm</t>
  </si>
  <si>
    <t>CN</t>
  </si>
  <si>
    <t>T2</t>
  </si>
  <si>
    <t>T3</t>
  </si>
  <si>
    <t>T4</t>
  </si>
  <si>
    <t>T5</t>
  </si>
  <si>
    <t>T6</t>
  </si>
  <si>
    <t>T7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</si>
  <si>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</si>
  <si>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</si>
  <si>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</si>
  <si>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</si>
  <si>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</si>
  <si>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</si>
  <si>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</si>
  <si>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</si>
  <si>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</si>
  <si>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</si>
  <si>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</si>
  <si>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</si>
  <si>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Đội</t>
  </si>
  <si>
    <t>Pháp</t>
  </si>
  <si>
    <t>Hàn Quốc</t>
  </si>
  <si>
    <t>Anh</t>
  </si>
  <si>
    <t>Đức</t>
  </si>
  <si>
    <t>Hà Lan</t>
  </si>
  <si>
    <t>Nhật Bản</t>
  </si>
  <si>
    <t>Ý</t>
  </si>
  <si>
    <t>B-ra-xin</t>
  </si>
  <si>
    <t>Bồ Đào Nha</t>
  </si>
  <si>
    <t>Chi-lê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</si>
  <si>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</si>
  <si>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</si>
  <si>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</si>
  <si>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</si>
  <si>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</si>
  <si>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</si>
  <si>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</si>
  <si>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</si>
  <si>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</si>
  <si>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</si>
  <si>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</si>
  <si>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</si>
  <si>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B61</t>
  </si>
  <si>
    <t>B62</t>
  </si>
  <si>
    <t>Korean</t>
  </si>
  <si>
    <t>조별 리그</t>
  </si>
  <si>
    <t>준결승전</t>
  </si>
  <si>
    <t>결승전</t>
  </si>
  <si>
    <t>그룹</t>
  </si>
  <si>
    <t>경기</t>
  </si>
  <si>
    <t>승</t>
  </si>
  <si>
    <t>무</t>
  </si>
  <si>
    <t>패</t>
  </si>
  <si>
    <t>골득실</t>
  </si>
  <si>
    <t>승점</t>
  </si>
  <si>
    <t>일</t>
  </si>
  <si>
    <t>월</t>
  </si>
  <si>
    <t>화</t>
  </si>
  <si>
    <t>수</t>
  </si>
  <si>
    <t>목</t>
  </si>
  <si>
    <t>금</t>
  </si>
  <si>
    <t>토</t>
  </si>
  <si>
    <t>팀</t>
  </si>
  <si>
    <t>멕시코</t>
  </si>
  <si>
    <t>우루과이</t>
  </si>
  <si>
    <t>프랑스</t>
  </si>
  <si>
    <t>아르헨티나</t>
  </si>
  <si>
    <t>나이지리아</t>
  </si>
  <si>
    <t>그리스</t>
  </si>
  <si>
    <t>미국</t>
  </si>
  <si>
    <t>알제리</t>
  </si>
  <si>
    <t>독일</t>
  </si>
  <si>
    <t>호주</t>
  </si>
  <si>
    <t>네덜란드</t>
  </si>
  <si>
    <t>일본</t>
  </si>
  <si>
    <t>카메룬</t>
  </si>
  <si>
    <t>이탈리아</t>
  </si>
  <si>
    <t>브라질</t>
  </si>
  <si>
    <t>포르투갈</t>
  </si>
  <si>
    <t>스페인</t>
  </si>
  <si>
    <t>스위스</t>
  </si>
  <si>
    <t>온두라스</t>
  </si>
  <si>
    <t>칠레</t>
  </si>
  <si>
    <t>준결승 경기1 승자</t>
  </si>
  <si>
    <t>Romanian</t>
  </si>
  <si>
    <t>Faza Grupelor</t>
  </si>
  <si>
    <t>Optimi</t>
  </si>
  <si>
    <t>Sferturi de finala</t>
  </si>
  <si>
    <t>Finala mica</t>
  </si>
  <si>
    <t>FINALA</t>
  </si>
  <si>
    <t>Grupa</t>
  </si>
  <si>
    <t>I</t>
  </si>
  <si>
    <t>GM - GP</t>
  </si>
  <si>
    <t>Dum</t>
  </si>
  <si>
    <t>Mie</t>
  </si>
  <si>
    <t>Joi</t>
  </si>
  <si>
    <t>Vin</t>
  </si>
  <si>
    <t>Sam</t>
  </si>
  <si>
    <t>Ian</t>
  </si>
  <si>
    <t>Iun</t>
  </si>
  <si>
    <t>Iul</t>
  </si>
  <si>
    <t>Noi</t>
  </si>
  <si>
    <t>Echipa</t>
  </si>
  <si>
    <t>Mexic</t>
  </si>
  <si>
    <t>Japonia</t>
  </si>
  <si>
    <t>Brazilia</t>
  </si>
  <si>
    <t>Portugalia</t>
  </si>
  <si>
    <t>Spania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</si>
  <si>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</si>
  <si>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</si>
  <si>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</si>
  <si>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</si>
  <si>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</si>
  <si>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</si>
  <si>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</si>
  <si>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</si>
  <si>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</si>
  <si>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</si>
  <si>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</si>
  <si>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</si>
  <si>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</si>
  <si>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</si>
  <si>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Serbian</t>
  </si>
  <si>
    <t>Grupno takmičenje</t>
  </si>
  <si>
    <t>Šesnaestina finala</t>
  </si>
  <si>
    <t>Četvrtfinale</t>
  </si>
  <si>
    <t>Polufinale</t>
  </si>
  <si>
    <t>2014 World Cup Final Tournament Schedule</t>
  </si>
  <si>
    <t>Kupa Botërore 2014</t>
  </si>
  <si>
    <t>جدول مباريات كأس العالم 2014</t>
  </si>
  <si>
    <t xml:space="preserve">Աշխարհի 2014թ. առաջնություն </t>
  </si>
  <si>
    <t>2014 - cu il Dünya Çempionatinin Final Mərhələsinin Cədvəli</t>
  </si>
  <si>
    <t>График на срещите - Световно първенство 2014</t>
  </si>
  <si>
    <t>Calendari de la Fase Final de la Copa del Món de futbol 2014</t>
  </si>
  <si>
    <t>2014南非世界杯决赛阶段赛程</t>
  </si>
  <si>
    <t>2014 世界盃賽程</t>
  </si>
  <si>
    <t>Svjetsko prvenstvo 2014 raspored utakmica</t>
  </si>
  <si>
    <t>Mistrovství světa ve fotbale 2014</t>
  </si>
  <si>
    <t>2014 Verdensmesterskabs Oversigt</t>
  </si>
  <si>
    <t>Wereldkampioenschap 2014 Toernooischema</t>
  </si>
  <si>
    <t>جدول مسابقات فینال جام جهانی 2014</t>
  </si>
  <si>
    <t>Coupe du Monde de la FIFA 2014 - Calendrier des matchs</t>
  </si>
  <si>
    <t>მსოფლიო ჩემპიონატი ფეხბურთში - სამხრეთ აფრიკა 2014</t>
  </si>
  <si>
    <t>Spielplan Weltmeisterschafts endrunde 2014</t>
  </si>
  <si>
    <t>Πρόγραμμα Τελικών Παγκοσμίου Κυπέλλου 2014</t>
  </si>
  <si>
    <t>2014 גביע העולם טורניר הגמר תזמן</t>
  </si>
  <si>
    <t>2014 Labdarúgó-világbajnokság döntő sorozata</t>
  </si>
  <si>
    <t>Jadwal Turnamen Final Piala Dunia 2014</t>
  </si>
  <si>
    <t>HM 2014 lokakeppnin</t>
  </si>
  <si>
    <t>Calendario Coppa del mondo 2014</t>
  </si>
  <si>
    <t>2014 월드컵 최종 토너먼트 일정</t>
  </si>
  <si>
    <t>2014 Pasaulio Futbolo Čempionato Tvarkaraštis</t>
  </si>
  <si>
    <t>Светски првенство 2014 - Распоред на натпревари</t>
  </si>
  <si>
    <t>Skeda tat-Tazza tad-Dinja 2014</t>
  </si>
  <si>
    <t>Verdensmesterskapet i fotball 2014</t>
  </si>
  <si>
    <t>2014 Mistrzostwa Świata Terminarz Meczy</t>
  </si>
  <si>
    <t>Calendário Fase Final Mundial 2014</t>
  </si>
  <si>
    <t>Programul Turneului Final FIFA World Cup 2014</t>
  </si>
  <si>
    <t>Расписание Игр Финальной Стадии Чемпионата Мира по Футболу 2014</t>
  </si>
  <si>
    <t>Svetsko prvenstvo u fudbalu 2014 - Raspored utakmica</t>
  </si>
  <si>
    <t>Majstrovstvá sveta vo futbale 2014</t>
  </si>
  <si>
    <t>Svetovno prvenstvo 2014 razpored tekem</t>
  </si>
  <si>
    <t>Schema för VM-slutspelet 2014</t>
  </si>
  <si>
    <t>ตารางการแข่งขันฟุตบอลโลก 2014</t>
  </si>
  <si>
    <t>2014 Dünya Kupası Finalleri Turnuva Fikstürü</t>
  </si>
  <si>
    <t>Lịch Thi Đấu Cúp Bóng Đá Thế Giới 2014</t>
  </si>
  <si>
    <t>World Champion 2014</t>
  </si>
  <si>
    <t>بطل العالم 2014</t>
  </si>
  <si>
    <t>Աշխարհի 2014թ. Հաղթող</t>
  </si>
  <si>
    <t>Dünya Çempionu 2014</t>
  </si>
  <si>
    <t>Световен шампион 2014</t>
  </si>
  <si>
    <t>Campió del Món 2014</t>
  </si>
  <si>
    <t>2014世界杯冠军</t>
  </si>
  <si>
    <t>Svjetski prvak 2014</t>
  </si>
  <si>
    <t>Mistr světa 2014</t>
  </si>
  <si>
    <t>Verdensmester 2014</t>
  </si>
  <si>
    <t>Wereldkampioen 2014</t>
  </si>
  <si>
    <t>قهرمان جام جهانی 2014</t>
  </si>
  <si>
    <t>Champion du Monde 2014</t>
  </si>
  <si>
    <t>მსოფლიოს ჩემპიონი 2014</t>
  </si>
  <si>
    <t>Weltmeister 2014</t>
  </si>
  <si>
    <t>Πρωταθλητής 2014</t>
  </si>
  <si>
    <t>גביע העולם 2014</t>
  </si>
  <si>
    <t>Juara Piala Dunia 2014</t>
  </si>
  <si>
    <t>Heimsmeistarar 2014</t>
  </si>
  <si>
    <t>Coppa del Mondo 2014</t>
  </si>
  <si>
    <t>2014년 우승국가</t>
  </si>
  <si>
    <t>Pasaulio Čempionas 2014</t>
  </si>
  <si>
    <t>Светски шампион 2014</t>
  </si>
  <si>
    <t>Rebbieħ tat-Tazza tad-Dinja 2014</t>
  </si>
  <si>
    <t>Vinner 2014</t>
  </si>
  <si>
    <t>Mistrz Świata 2014</t>
  </si>
  <si>
    <t>Vencedor do Campeonato do Mundo 2014</t>
  </si>
  <si>
    <t>Campioana Mondiala 2014</t>
  </si>
  <si>
    <t>Чемпион Мира 2014</t>
  </si>
  <si>
    <t>Svjetski šampion 2014</t>
  </si>
  <si>
    <t>Majster sveta 2014</t>
  </si>
  <si>
    <t>Svetovno prvak 2014</t>
  </si>
  <si>
    <t>Campeón 2014</t>
  </si>
  <si>
    <t>Världsmästare 2014</t>
  </si>
  <si>
    <t>แชมป์โลกปี 2014</t>
  </si>
  <si>
    <t>2014 Dünya Şampiyonu</t>
  </si>
  <si>
    <t>Vòng Chung Kết 2014</t>
  </si>
  <si>
    <t>Чемпіон Світу 2014</t>
  </si>
  <si>
    <t>Croatia</t>
  </si>
  <si>
    <t>Croatie</t>
  </si>
  <si>
    <t>Kroatien</t>
  </si>
  <si>
    <t>Croacia</t>
  </si>
  <si>
    <t>Croazia</t>
  </si>
  <si>
    <t>Croácia</t>
  </si>
  <si>
    <t>Chorwacja</t>
  </si>
  <si>
    <t>Kroatija</t>
  </si>
  <si>
    <t>Croàcia</t>
  </si>
  <si>
    <t>Horvátország</t>
  </si>
  <si>
    <t>Kroatië</t>
  </si>
  <si>
    <t>Kroazja</t>
  </si>
  <si>
    <t>Chorvatsko</t>
  </si>
  <si>
    <t>Hrvaška</t>
  </si>
  <si>
    <t>Kroatia</t>
  </si>
  <si>
    <t>Hrvatska</t>
  </si>
  <si>
    <t>Хрватска</t>
  </si>
  <si>
    <t>Kroacia</t>
  </si>
  <si>
    <t>Хърватия</t>
  </si>
  <si>
    <t>Хорватия</t>
  </si>
  <si>
    <t>Хорватія</t>
  </si>
  <si>
    <t>Xorvatiya</t>
  </si>
  <si>
    <t>Hırvatistan</t>
  </si>
  <si>
    <t>Kroasia</t>
  </si>
  <si>
    <t>ხორვატია</t>
  </si>
  <si>
    <t>קרואטיה</t>
  </si>
  <si>
    <t>كرواتيا</t>
  </si>
  <si>
    <t>کرواسی</t>
  </si>
  <si>
    <t>克罗地亚</t>
  </si>
  <si>
    <t>en</t>
  </si>
  <si>
    <t>sq</t>
  </si>
  <si>
    <t>ar</t>
  </si>
  <si>
    <t>hy</t>
  </si>
  <si>
    <t>az</t>
  </si>
  <si>
    <t>bg</t>
  </si>
  <si>
    <t>ca</t>
  </si>
  <si>
    <t>zh-CN</t>
  </si>
  <si>
    <t>zh-TW</t>
  </si>
  <si>
    <t>hr</t>
  </si>
  <si>
    <t>cs</t>
  </si>
  <si>
    <t>da</t>
  </si>
  <si>
    <t>nl</t>
  </si>
  <si>
    <t>fr</t>
  </si>
  <si>
    <t>ka</t>
  </si>
  <si>
    <t>de</t>
  </si>
  <si>
    <t>el</t>
  </si>
  <si>
    <t>iw</t>
  </si>
  <si>
    <t>hu</t>
  </si>
  <si>
    <t>id</t>
  </si>
  <si>
    <t>is</t>
  </si>
  <si>
    <t>it</t>
  </si>
  <si>
    <t>ko</t>
  </si>
  <si>
    <t>lt</t>
  </si>
  <si>
    <t>mk</t>
  </si>
  <si>
    <t>mt</t>
  </si>
  <si>
    <t>no</t>
  </si>
  <si>
    <t>fa</t>
  </si>
  <si>
    <t>pl</t>
  </si>
  <si>
    <t>pt</t>
  </si>
  <si>
    <t>ro</t>
  </si>
  <si>
    <t>ru</t>
  </si>
  <si>
    <t>sr</t>
  </si>
  <si>
    <t>sk</t>
  </si>
  <si>
    <t>sl</t>
  </si>
  <si>
    <t>es</t>
  </si>
  <si>
    <t>sv</t>
  </si>
  <si>
    <t>th</t>
  </si>
  <si>
    <t>tr</t>
  </si>
  <si>
    <t>vi</t>
  </si>
  <si>
    <t>uk</t>
  </si>
  <si>
    <t>ur</t>
  </si>
  <si>
    <t>Rusi</t>
  </si>
  <si>
    <t>روسيا</t>
  </si>
  <si>
    <t>Ռուսաստան</t>
  </si>
  <si>
    <t>Rusiya</t>
  </si>
  <si>
    <t>Русия</t>
  </si>
  <si>
    <t>Rússia</t>
  </si>
  <si>
    <t>俄国</t>
  </si>
  <si>
    <t>俄國</t>
  </si>
  <si>
    <t>Rusija</t>
  </si>
  <si>
    <t>Rusko</t>
  </si>
  <si>
    <t>Rusland</t>
  </si>
  <si>
    <t>Russie</t>
  </si>
  <si>
    <t>რუსეთის</t>
  </si>
  <si>
    <t>Russland</t>
  </si>
  <si>
    <t>Ρωσία</t>
  </si>
  <si>
    <t>רוסיה</t>
  </si>
  <si>
    <t>Oroszország</t>
  </si>
  <si>
    <t>Rusia</t>
  </si>
  <si>
    <t>russia</t>
  </si>
  <si>
    <t>Russia</t>
  </si>
  <si>
    <t>러시아</t>
  </si>
  <si>
    <t>Русија</t>
  </si>
  <si>
    <t>Russja</t>
  </si>
  <si>
    <t>روسیه،</t>
  </si>
  <si>
    <t>Rosja</t>
  </si>
  <si>
    <t>Россия</t>
  </si>
  <si>
    <t>rusko</t>
  </si>
  <si>
    <t>Ryssland</t>
  </si>
  <si>
    <t>ประเทศรัสเซีย</t>
  </si>
  <si>
    <t>Rusya</t>
  </si>
  <si>
    <t>Nga</t>
  </si>
  <si>
    <t>Росія</t>
  </si>
  <si>
    <t>روس</t>
  </si>
  <si>
    <t>Խորվաթիա</t>
  </si>
  <si>
    <t>克羅地亞</t>
  </si>
  <si>
    <t>Κροατία</t>
  </si>
  <si>
    <t>크로아티아</t>
  </si>
  <si>
    <t>хрватска</t>
  </si>
  <si>
    <t>Croația</t>
  </si>
  <si>
    <t>chorvátsko</t>
  </si>
  <si>
    <t>โครเอเชีย</t>
  </si>
  <si>
    <t>کروشیا</t>
  </si>
  <si>
    <t>Meksikë</t>
  </si>
  <si>
    <t>mexico</t>
  </si>
  <si>
    <t>ประเทศเม็กซิโก</t>
  </si>
  <si>
    <t>أوروغواي</t>
  </si>
  <si>
    <t>ურუგვაის</t>
  </si>
  <si>
    <t>אורוגוואי</t>
  </si>
  <si>
    <t>Уругвајската</t>
  </si>
  <si>
    <t>ประเทศอุรุกวัย</t>
  </si>
  <si>
    <t>یوراگوئے</t>
  </si>
  <si>
    <t>Francë</t>
  </si>
  <si>
    <t>Franța</t>
  </si>
  <si>
    <t>Француска</t>
  </si>
  <si>
    <t>francúzsko</t>
  </si>
  <si>
    <t>Argjentinë</t>
  </si>
  <si>
    <t>არგენტინის</t>
  </si>
  <si>
    <t>argentína</t>
  </si>
  <si>
    <t>Nigeri</t>
  </si>
  <si>
    <t>ნიგერიის</t>
  </si>
  <si>
    <t>نائیجیریا</t>
  </si>
  <si>
    <t>جمهورية كوريا</t>
  </si>
  <si>
    <t>Կորեայի Հանրապետություն</t>
  </si>
  <si>
    <t>Република Корея</t>
  </si>
  <si>
    <t>韓國</t>
  </si>
  <si>
    <t>Jižní Korea</t>
  </si>
  <si>
    <t>კორეის რესპუბლიკა</t>
  </si>
  <si>
    <t>Δημοκρατία της Κορέας</t>
  </si>
  <si>
    <t>קוריאה רפובליקה</t>
  </si>
  <si>
    <t>Republik Korea</t>
  </si>
  <si>
    <t>Kórea</t>
  </si>
  <si>
    <t>한국</t>
  </si>
  <si>
    <t>Кореја Република</t>
  </si>
  <si>
    <t>Korea Repubblika</t>
  </si>
  <si>
    <t>República da Coréia</t>
  </si>
  <si>
    <t>Coreea de Sud</t>
  </si>
  <si>
    <t>Южная Корея</t>
  </si>
  <si>
    <t>južná Kórea</t>
  </si>
  <si>
    <t>Kore Cumhuriyeti</t>
  </si>
  <si>
    <t>جمہوریہ کوریا</t>
  </si>
  <si>
    <t>Greqi</t>
  </si>
  <si>
    <t>يونان</t>
  </si>
  <si>
    <t>საბერძნეთში</t>
  </si>
  <si>
    <t>יון</t>
  </si>
  <si>
    <t>Il-Greċja</t>
  </si>
  <si>
    <t>Грчка</t>
  </si>
  <si>
    <t>grécko</t>
  </si>
  <si>
    <t>กรีก</t>
  </si>
  <si>
    <t>Hy Lạp</t>
  </si>
  <si>
    <t>Angli</t>
  </si>
  <si>
    <t>انجلترا</t>
  </si>
  <si>
    <t>英国</t>
  </si>
  <si>
    <t>英國</t>
  </si>
  <si>
    <t>영국</t>
  </si>
  <si>
    <t>Енглеска</t>
  </si>
  <si>
    <t>انگلینڈ</t>
  </si>
  <si>
    <t>الولايات المتحدة الأمريكية</t>
  </si>
  <si>
    <t>Amerika Birləşmiş Ştatları</t>
  </si>
  <si>
    <t>Spojené státy americké</t>
  </si>
  <si>
    <t>VS</t>
  </si>
  <si>
    <t>ארצות הברית</t>
  </si>
  <si>
    <t>Amerika Serikat</t>
  </si>
  <si>
    <t>Stati Uniti d'America</t>
  </si>
  <si>
    <t>ایالات متحده</t>
  </si>
  <si>
    <t>Statele Unite ale Americii</t>
  </si>
  <si>
    <t>Spojené štáty americké</t>
  </si>
  <si>
    <t>EE.UU.</t>
  </si>
  <si>
    <t>ประเทศสหรัฐอเมริกา</t>
  </si>
  <si>
    <t>Amerika Birleşik Devletleri</t>
  </si>
  <si>
    <t>Hoa Kỳ</t>
  </si>
  <si>
    <t>امریکہ</t>
  </si>
  <si>
    <t>Algjeri</t>
  </si>
  <si>
    <t>Ալժիրի Ժողովրդավարական Դեմոկրատական ​​Հանրապետություն</t>
  </si>
  <si>
    <t>ალჟირში</t>
  </si>
  <si>
    <t>Alsír</t>
  </si>
  <si>
    <t>alžírsko</t>
  </si>
  <si>
    <t>ประเทศแอลจีเรีย</t>
  </si>
  <si>
    <t>Colombia</t>
  </si>
  <si>
    <t>Costa Rica</t>
  </si>
  <si>
    <t>Ecuador</t>
  </si>
  <si>
    <t>Bosnia-Herzegovina</t>
  </si>
  <si>
    <t>Iran</t>
  </si>
  <si>
    <t>Belgium</t>
  </si>
  <si>
    <t>Gjermani</t>
  </si>
  <si>
    <t>германија</t>
  </si>
  <si>
    <t>Немачка</t>
  </si>
  <si>
    <t>nemecko</t>
  </si>
  <si>
    <t>ประเทศเยอรมัน</t>
  </si>
  <si>
    <t>ავსტრალიაში</t>
  </si>
  <si>
    <t>Австралија</t>
  </si>
  <si>
    <t>Аустралија</t>
  </si>
  <si>
    <t>Úc</t>
  </si>
  <si>
    <t>آسٹریلیا</t>
  </si>
  <si>
    <t>Kolumbi</t>
  </si>
  <si>
    <t>كولومبيا</t>
  </si>
  <si>
    <t>Կոլումբիա</t>
  </si>
  <si>
    <t>Kolumbiya</t>
  </si>
  <si>
    <t>Колумбия</t>
  </si>
  <si>
    <t>Colòmbia</t>
  </si>
  <si>
    <t>哥伦比亚</t>
  </si>
  <si>
    <t>哥倫比亞</t>
  </si>
  <si>
    <t>Kolumbija</t>
  </si>
  <si>
    <t>Kolumbie</t>
  </si>
  <si>
    <t>Colombie</t>
  </si>
  <si>
    <t>Kolumbien</t>
  </si>
  <si>
    <t>Κολομβία</t>
  </si>
  <si>
    <t>קולומביה</t>
  </si>
  <si>
    <t>Kolumbia</t>
  </si>
  <si>
    <t>콜롬비아</t>
  </si>
  <si>
    <t>Колумбија</t>
  </si>
  <si>
    <t>Kolombja</t>
  </si>
  <si>
    <t>کلمبیا</t>
  </si>
  <si>
    <t>Colômbia</t>
  </si>
  <si>
    <t>Columbia</t>
  </si>
  <si>
    <t>kolumbia</t>
  </si>
  <si>
    <t>ประเทศโคลอมเบีย</t>
  </si>
  <si>
    <t>Kolombiya</t>
  </si>
  <si>
    <t>Колумбія</t>
  </si>
  <si>
    <t>کولمبیا</t>
  </si>
  <si>
    <t>განას</t>
  </si>
  <si>
    <t>아프리카 서부의 공화국</t>
  </si>
  <si>
    <t>گھانا</t>
  </si>
  <si>
    <t>Holandë</t>
  </si>
  <si>
    <t>Նիդեռլանդներ</t>
  </si>
  <si>
    <t>països Baixos</t>
  </si>
  <si>
    <t>Paesi Bassi</t>
  </si>
  <si>
    <t>Niderlandy</t>
  </si>
  <si>
    <t>Țările de Jos</t>
  </si>
  <si>
    <t>holandsko</t>
  </si>
  <si>
    <t>ประเทศเนเธอร์แลนด์</t>
  </si>
  <si>
    <t>نیدرلینڈ</t>
  </si>
  <si>
    <t>Kostarikë</t>
  </si>
  <si>
    <t>كوستاريكا</t>
  </si>
  <si>
    <t>Կոստա - Ռիկա</t>
  </si>
  <si>
    <t>哥斯达黎加</t>
  </si>
  <si>
    <t>哥斯達黎加</t>
  </si>
  <si>
    <t>Kostarika</t>
  </si>
  <si>
    <t>კოსტა რიკის</t>
  </si>
  <si>
    <t>Κόστα Ρίκα</t>
  </si>
  <si>
    <t>קוסטה ריקה</t>
  </si>
  <si>
    <t>Kosta Rika</t>
  </si>
  <si>
    <t>Costarica</t>
  </si>
  <si>
    <t>코스타리카</t>
  </si>
  <si>
    <t>Коста Рика</t>
  </si>
  <si>
    <t>کاستاریکا</t>
  </si>
  <si>
    <t>Kostaryka</t>
  </si>
  <si>
    <t>Коста-Рика</t>
  </si>
  <si>
    <t>Костарика</t>
  </si>
  <si>
    <t>COSTA RICA</t>
  </si>
  <si>
    <t>คอสตาริกา</t>
  </si>
  <si>
    <t>Коста -Ріка</t>
  </si>
  <si>
    <t>کوسٹا ریکا</t>
  </si>
  <si>
    <t>კამერუნის</t>
  </si>
  <si>
    <t>Камерун,</t>
  </si>
  <si>
    <t>იტალიაში</t>
  </si>
  <si>
    <t>taliansko</t>
  </si>
  <si>
    <t>اٹلی</t>
  </si>
  <si>
    <t>Ekuador</t>
  </si>
  <si>
    <t>الإكوادور</t>
  </si>
  <si>
    <t>Էկվադոր</t>
  </si>
  <si>
    <t>Ekvador</t>
  </si>
  <si>
    <t>Еквадор</t>
  </si>
  <si>
    <t>equador</t>
  </si>
  <si>
    <t>厄瓜多尔</t>
  </si>
  <si>
    <t>厄瓜多爾</t>
  </si>
  <si>
    <t>Ekvádor</t>
  </si>
  <si>
    <t>Équateur</t>
  </si>
  <si>
    <t>ეკვადორის</t>
  </si>
  <si>
    <t>Εκουαδόρ</t>
  </si>
  <si>
    <t>אקוודור</t>
  </si>
  <si>
    <t>에콰도르</t>
  </si>
  <si>
    <t>Ekvadoras</t>
  </si>
  <si>
    <t>Ekwador</t>
  </si>
  <si>
    <t>اکوادور</t>
  </si>
  <si>
    <t>Equador</t>
  </si>
  <si>
    <t>Эквадор</t>
  </si>
  <si>
    <t>เอกวาดอร์</t>
  </si>
  <si>
    <t>ایکواڈور</t>
  </si>
  <si>
    <t>Bosnje - Hercegovina</t>
  </si>
  <si>
    <t>البوسنة و الهرسك</t>
  </si>
  <si>
    <t>Բոսնիա եւ Հերցեգովինա</t>
  </si>
  <si>
    <t>Bosniya-Herseqovina</t>
  </si>
  <si>
    <t>Босна и Херцеговина</t>
  </si>
  <si>
    <t>Bòsnia i Hercegovina</t>
  </si>
  <si>
    <t>波斯尼亚和黑塞哥维那</t>
  </si>
  <si>
    <t>波斯尼亞和黑塞哥維那</t>
  </si>
  <si>
    <t>Bosnia - Herzegovina</t>
  </si>
  <si>
    <t>Bosna a Hercegovina</t>
  </si>
  <si>
    <t>Bosnien - Hercegovina</t>
  </si>
  <si>
    <t>Bosnië - Herzegovina</t>
  </si>
  <si>
    <t>Bosnie-Herzégovine</t>
  </si>
  <si>
    <t>ბოსნია და ჰერცოგოვინა</t>
  </si>
  <si>
    <t>Bosnien- Herzegowina</t>
  </si>
  <si>
    <t>Βοσνία - Ερζεγοβίνη</t>
  </si>
  <si>
    <t>בוסניה הרצגובינה</t>
  </si>
  <si>
    <t>Bosznia és Hercegovina</t>
  </si>
  <si>
    <t>Bosnía - Hersegóvína</t>
  </si>
  <si>
    <t>Bosnia - Erzegovina</t>
  </si>
  <si>
    <t>보스니아 - 헤르체고비나</t>
  </si>
  <si>
    <t>Bosnija ir Hercegovina</t>
  </si>
  <si>
    <t>Bosnia- Herzegovina</t>
  </si>
  <si>
    <t>Bosnia - Hercegovina</t>
  </si>
  <si>
    <t>بوسنی و هرزگوین</t>
  </si>
  <si>
    <t>Bośnia i Hercegowina</t>
  </si>
  <si>
    <t>Bósnia - Herzegovina</t>
  </si>
  <si>
    <t>Босния и Герцеговина</t>
  </si>
  <si>
    <t>Bosna in Hercegovina</t>
  </si>
  <si>
    <t>Bosnien och Hercegovina</t>
  </si>
  <si>
    <t>บอสเนีย</t>
  </si>
  <si>
    <t>Bosna - Hersek</t>
  </si>
  <si>
    <t>Боснія і Герцеговина</t>
  </si>
  <si>
    <t>بوسنیا</t>
  </si>
  <si>
    <t>ايران</t>
  </si>
  <si>
    <t>Իրան</t>
  </si>
  <si>
    <t>İran</t>
  </si>
  <si>
    <t>Иран</t>
  </si>
  <si>
    <t>伊朗</t>
  </si>
  <si>
    <t>Írán</t>
  </si>
  <si>
    <t>ირანის</t>
  </si>
  <si>
    <t>Ιράν</t>
  </si>
  <si>
    <t>אירן</t>
  </si>
  <si>
    <t>Irán</t>
  </si>
  <si>
    <t>Íran</t>
  </si>
  <si>
    <t>이란</t>
  </si>
  <si>
    <t>Iranas</t>
  </si>
  <si>
    <t>ایران</t>
  </si>
  <si>
    <t>Irã</t>
  </si>
  <si>
    <t>อิหร่าน</t>
  </si>
  <si>
    <t>Іран</t>
  </si>
  <si>
    <t>Belgjikë</t>
  </si>
  <si>
    <t>بلجيكا</t>
  </si>
  <si>
    <t>Բելգիա</t>
  </si>
  <si>
    <t>Belçika</t>
  </si>
  <si>
    <t>Белгия</t>
  </si>
  <si>
    <t>Bèlgica</t>
  </si>
  <si>
    <t>比利时</t>
  </si>
  <si>
    <t>比利時</t>
  </si>
  <si>
    <t>Belgija</t>
  </si>
  <si>
    <t>Belgie</t>
  </si>
  <si>
    <t>Belgien</t>
  </si>
  <si>
    <t>België</t>
  </si>
  <si>
    <t>Belgique</t>
  </si>
  <si>
    <t>ბელგიის</t>
  </si>
  <si>
    <t>Βέλγιο</t>
  </si>
  <si>
    <t>בלגיה</t>
  </si>
  <si>
    <t>Belgia</t>
  </si>
  <si>
    <t>Belgio</t>
  </si>
  <si>
    <t>벨기에</t>
  </si>
  <si>
    <t>белгија</t>
  </si>
  <si>
    <t>Il-Belġju</t>
  </si>
  <si>
    <t>بلژیک</t>
  </si>
  <si>
    <t>Bélgica</t>
  </si>
  <si>
    <t>Бельгия</t>
  </si>
  <si>
    <t>Белгија</t>
  </si>
  <si>
    <t>belgicko</t>
  </si>
  <si>
    <t>เบลเยี่ยม</t>
  </si>
  <si>
    <t>Bỉ</t>
  </si>
  <si>
    <t>Бельгія</t>
  </si>
  <si>
    <t>بیلجئیم</t>
  </si>
  <si>
    <t>Bregu i Fildishtë</t>
  </si>
  <si>
    <t>كوت ديفوار</t>
  </si>
  <si>
    <t>Côte d' Ivoire</t>
  </si>
  <si>
    <t>Кот д'Ивоар</t>
  </si>
  <si>
    <t>Ακτή του Ελεφαντοστού</t>
  </si>
  <si>
    <t>החוף השנהב</t>
  </si>
  <si>
    <t>Costa d' Avorio</t>
  </si>
  <si>
    <t>코트 디부 아르</t>
  </si>
  <si>
    <t>Брегот на Слоновата Коска</t>
  </si>
  <si>
    <t>Берег Слоновой Кости</t>
  </si>
  <si>
    <t>Обала Слоноваче</t>
  </si>
  <si>
    <t>โกต ดิวัวร์</t>
  </si>
  <si>
    <t>Берег Слонової Кістки</t>
  </si>
  <si>
    <t>آئیوری کوسٹ</t>
  </si>
  <si>
    <t>Portugali</t>
  </si>
  <si>
    <t>პორტუგალიის</t>
  </si>
  <si>
    <t>Portugall</t>
  </si>
  <si>
    <t>پرتغال</t>
  </si>
  <si>
    <t>Spanjë</t>
  </si>
  <si>
    <t>إسبانيا</t>
  </si>
  <si>
    <t>ესპანეთში</t>
  </si>
  <si>
    <t>spain</t>
  </si>
  <si>
    <t>کشور اسپانیا</t>
  </si>
  <si>
    <t>španielsko</t>
  </si>
  <si>
    <t>Tây ban nha</t>
  </si>
  <si>
    <t>سپین</t>
  </si>
  <si>
    <t>Zvicër</t>
  </si>
  <si>
    <t>Švajcarska</t>
  </si>
  <si>
    <t>שוויץ</t>
  </si>
  <si>
    <t>Isvizzera</t>
  </si>
  <si>
    <t>سویس</t>
  </si>
  <si>
    <t>Elveția</t>
  </si>
  <si>
    <t>Швајцарска</t>
  </si>
  <si>
    <t>švajčiarsko</t>
  </si>
  <si>
    <t>ประเทศสวิสเซอร์แลนด์</t>
  </si>
  <si>
    <t>Thụy Sĩ</t>
  </si>
  <si>
    <t>سوئٹزرلینڈ</t>
  </si>
  <si>
    <t>ჰონდურასის</t>
  </si>
  <si>
    <t>Hondūras</t>
  </si>
  <si>
    <t>Ħonduras</t>
  </si>
  <si>
    <t>honduras</t>
  </si>
  <si>
    <t>ہونڈوراس</t>
  </si>
  <si>
    <t>16강전</t>
  </si>
  <si>
    <t>8강전</t>
  </si>
  <si>
    <t>3,4위전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</si>
  <si>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</si>
  <si>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</si>
  <si>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</si>
  <si>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</si>
  <si>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</si>
  <si>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</si>
  <si>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</si>
  <si>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</si>
  <si>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</si>
  <si>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</si>
  <si>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</si>
  <si>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</si>
  <si>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A 그룹 1위</t>
  </si>
  <si>
    <t>A 그룹 2위</t>
  </si>
  <si>
    <t>B 그룹 1위</t>
  </si>
  <si>
    <t>B 그룹 2위</t>
  </si>
  <si>
    <t>C 그룹 1위</t>
  </si>
  <si>
    <t>C 그룹 2위</t>
  </si>
  <si>
    <t>D 그룹 1위</t>
  </si>
  <si>
    <t>D 그룹 2위</t>
  </si>
  <si>
    <t>E 그룹 1위</t>
  </si>
  <si>
    <t>E 그룹 2위</t>
  </si>
  <si>
    <t>F 그룹 1위</t>
  </si>
  <si>
    <t>F 그룹 2위</t>
  </si>
  <si>
    <t>G 그룹 1위</t>
  </si>
  <si>
    <t>G 그룹 2위</t>
  </si>
  <si>
    <t>H 그룹 1위</t>
  </si>
  <si>
    <t>H 그룹 2위</t>
  </si>
  <si>
    <t>16강전 경기1 승자</t>
  </si>
  <si>
    <t>16강전 경기2 승자</t>
  </si>
  <si>
    <t>16강전 경기3 승자</t>
  </si>
  <si>
    <t>16강전 경기4 승자</t>
  </si>
  <si>
    <t>16강전 경기5 승자</t>
  </si>
  <si>
    <t>16강전 경기6 승자</t>
  </si>
  <si>
    <t>16강전 경기7 승자</t>
  </si>
  <si>
    <t>16강전 경기8 승자</t>
  </si>
  <si>
    <t>8강전 경기1 승자</t>
  </si>
  <si>
    <t>8강전 경기2 승자</t>
  </si>
  <si>
    <t>8강전 경기3 승자</t>
  </si>
  <si>
    <t>8강전 경기4 승자</t>
  </si>
  <si>
    <t>준결승 경기2 승자</t>
  </si>
  <si>
    <t>준결승 경기1 패자</t>
  </si>
  <si>
    <t>준결승 경기2 패자</t>
  </si>
  <si>
    <t>Sao Paulo</t>
  </si>
  <si>
    <t>Natal</t>
  </si>
  <si>
    <t>Fortaleza</t>
  </si>
  <si>
    <t>Manaus</t>
  </si>
  <si>
    <t>Brasilia</t>
  </si>
  <si>
    <t>Recife</t>
  </si>
  <si>
    <t>Salvador</t>
  </si>
  <si>
    <t>Cuiaba</t>
  </si>
  <si>
    <t>Rio De Janeiro</t>
  </si>
  <si>
    <t>Porto Alegre</t>
  </si>
  <si>
    <t>Curitiba</t>
  </si>
  <si>
    <t>Belo Horizonte</t>
  </si>
  <si>
    <t>Yes</t>
  </si>
  <si>
    <t>بيلو هوريزونتي</t>
  </si>
  <si>
    <t>Бело Оризонте</t>
  </si>
  <si>
    <t>贝洛奥里藏特</t>
  </si>
  <si>
    <t>貝洛奧里藏特</t>
  </si>
  <si>
    <t>belo Horizonte</t>
  </si>
  <si>
    <t>Μπέλο Οριζόντε</t>
  </si>
  <si>
    <t>בלו הוריזונטה</t>
  </si>
  <si>
    <t>벨루 오리 존치</t>
  </si>
  <si>
    <t>Belo Horizontė</t>
  </si>
  <si>
    <t>Бело Хоризонте</t>
  </si>
  <si>
    <t>بلو هوریزونته</t>
  </si>
  <si>
    <t>Белу-Оризонти</t>
  </si>
  <si>
    <t>Белу -Орізонті</t>
  </si>
  <si>
    <t>بیلو ہوریزونٹے</t>
  </si>
  <si>
    <t>Brazilias</t>
  </si>
  <si>
    <t>برازيليا</t>
  </si>
  <si>
    <t>Brasília</t>
  </si>
  <si>
    <t>巴西利亚</t>
  </si>
  <si>
    <t>巴西利亞</t>
  </si>
  <si>
    <t>Μπραζίλια</t>
  </si>
  <si>
    <t>ברזיליה</t>
  </si>
  <si>
    <t>브라질리아</t>
  </si>
  <si>
    <t>Бразилија</t>
  </si>
  <si>
    <t>برازیلیا</t>
  </si>
  <si>
    <t>Бразилиа</t>
  </si>
  <si>
    <t>บราซิเลีย</t>
  </si>
  <si>
    <t>Бразиліа</t>
  </si>
  <si>
    <t>براسیلیا</t>
  </si>
  <si>
    <t>كويابا</t>
  </si>
  <si>
    <t>库亚巴</t>
  </si>
  <si>
    <t>庫亞巴</t>
  </si>
  <si>
    <t>Cuiabá</t>
  </si>
  <si>
    <t>קויאבה</t>
  </si>
  <si>
    <t>쿠이 아바</t>
  </si>
  <si>
    <t>کویابا</t>
  </si>
  <si>
    <t>cuiaba</t>
  </si>
  <si>
    <t>Куяба</t>
  </si>
  <si>
    <t>Кујаба</t>
  </si>
  <si>
    <t>กูยาบา</t>
  </si>
  <si>
    <t>کیوبا</t>
  </si>
  <si>
    <t>كوريتيبا</t>
  </si>
  <si>
    <t>Куритиба</t>
  </si>
  <si>
    <t>库里提巴</t>
  </si>
  <si>
    <t>庫裡提巴</t>
  </si>
  <si>
    <t>קוריטיבה</t>
  </si>
  <si>
    <t>쿠리티바</t>
  </si>
  <si>
    <t>Kuritiba</t>
  </si>
  <si>
    <t>کوریتیبا</t>
  </si>
  <si>
    <t>curitiba</t>
  </si>
  <si>
    <t>กูรีตีบา</t>
  </si>
  <si>
    <t>Курітіба</t>
  </si>
  <si>
    <t>کوریٹیبا</t>
  </si>
  <si>
    <t>فورتاليزا</t>
  </si>
  <si>
    <t>Форталеза</t>
  </si>
  <si>
    <t>fortalesa</t>
  </si>
  <si>
    <t>福塔雷萨</t>
  </si>
  <si>
    <t>福塔雷薩</t>
  </si>
  <si>
    <t>פורטלזה</t>
  </si>
  <si>
    <t>포르 탈 레자</t>
  </si>
  <si>
    <t>فورتالزا</t>
  </si>
  <si>
    <t>fortaleza</t>
  </si>
  <si>
    <t>ฟอร์</t>
  </si>
  <si>
    <t>فورٹالیزا</t>
  </si>
  <si>
    <t>ماناوس</t>
  </si>
  <si>
    <t>马瑙斯</t>
  </si>
  <si>
    <t>馬瑙斯</t>
  </si>
  <si>
    <t>מנאוס</t>
  </si>
  <si>
    <t>마나우스</t>
  </si>
  <si>
    <t>Manausas</t>
  </si>
  <si>
    <t>Манаус</t>
  </si>
  <si>
    <t>مانائوس</t>
  </si>
  <si>
    <t>มาเนาส์</t>
  </si>
  <si>
    <t>میناس</t>
  </si>
  <si>
    <t>i lindjes</t>
  </si>
  <si>
    <t>الولادة</t>
  </si>
  <si>
    <t>ծննդյան</t>
  </si>
  <si>
    <t>роден</t>
  </si>
  <si>
    <t>natal</t>
  </si>
  <si>
    <t>纳塔尔</t>
  </si>
  <si>
    <t>納塔爾</t>
  </si>
  <si>
    <t>natalni</t>
  </si>
  <si>
    <t>rodný</t>
  </si>
  <si>
    <t>Geburts-</t>
  </si>
  <si>
    <t>γενέθλιος</t>
  </si>
  <si>
    <t>נטאל</t>
  </si>
  <si>
    <t>születési</t>
  </si>
  <si>
    <t>natale</t>
  </si>
  <si>
    <t>출생의</t>
  </si>
  <si>
    <t>Natalis</t>
  </si>
  <si>
    <t>натална</t>
  </si>
  <si>
    <t>مولودی</t>
  </si>
  <si>
    <t>rodzinny</t>
  </si>
  <si>
    <t>натальный</t>
  </si>
  <si>
    <t>натални</t>
  </si>
  <si>
    <t>เกี่ยวกับการเกิด</t>
  </si>
  <si>
    <t>doğum</t>
  </si>
  <si>
    <t>nơi sanh đẻ</t>
  </si>
  <si>
    <t>Натільний</t>
  </si>
  <si>
    <t>نےٹال</t>
  </si>
  <si>
    <t>بورتو أليغري</t>
  </si>
  <si>
    <t>阿雷格里港</t>
  </si>
  <si>
    <t>Πόρτο Αλέγκρε</t>
  </si>
  <si>
    <t>פורטו אלגרה</t>
  </si>
  <si>
    <t>포르투 알레그레</t>
  </si>
  <si>
    <t>Porto Alegrė</t>
  </si>
  <si>
    <t>Порто Алегре</t>
  </si>
  <si>
    <t>پورتو آلگره</t>
  </si>
  <si>
    <t>Порту-Алегри</t>
  </si>
  <si>
    <t>ปอร์โต อเลเกร</t>
  </si>
  <si>
    <t>порту -Алегрі</t>
  </si>
  <si>
    <t>پورٹو Alegre</t>
  </si>
  <si>
    <t>ريسيفي</t>
  </si>
  <si>
    <t>Ресифе</t>
  </si>
  <si>
    <t>累西腓</t>
  </si>
  <si>
    <t>Ρεσίφε</t>
  </si>
  <si>
    <t>רסיפה</t>
  </si>
  <si>
    <t>레시 페</t>
  </si>
  <si>
    <t>Resifė</t>
  </si>
  <si>
    <t>رسیف</t>
  </si>
  <si>
    <t>Ресифи</t>
  </si>
  <si>
    <t>เรซิเฟ่</t>
  </si>
  <si>
    <t>Ресіфі</t>
  </si>
  <si>
    <t>ریسیف</t>
  </si>
  <si>
    <t>ريو دي جانيرو</t>
  </si>
  <si>
    <t>里约热内卢</t>
  </si>
  <si>
    <t>里約熱內盧</t>
  </si>
  <si>
    <t>Ρίο Ιανέιρο</t>
  </si>
  <si>
    <t>ריו דה ז'נרו</t>
  </si>
  <si>
    <t>리오 데 자네이로</t>
  </si>
  <si>
    <t>Rio de Žaneiras</t>
  </si>
  <si>
    <t>Рио де Жанеиро</t>
  </si>
  <si>
    <t>ریو دو ژانیرو</t>
  </si>
  <si>
    <t>Rio de Janeiro</t>
  </si>
  <si>
    <t>Рио -де-Жанейро</t>
  </si>
  <si>
    <t>ริโอ เดจาเนโร</t>
  </si>
  <si>
    <t>Ріо- де- Жанейро</t>
  </si>
  <si>
    <t>ریو ڈی جنیرو</t>
  </si>
  <si>
    <t>سلفادور</t>
  </si>
  <si>
    <t>萨尔瓦多</t>
  </si>
  <si>
    <t>薩爾瓦多</t>
  </si>
  <si>
    <t>Σαλβαντόρ</t>
  </si>
  <si>
    <t>סלבדור</t>
  </si>
  <si>
    <t>살바도르</t>
  </si>
  <si>
    <t>Salvadoras</t>
  </si>
  <si>
    <t>Салвадор</t>
  </si>
  <si>
    <t>سالوادور</t>
  </si>
  <si>
    <t>Сальвадор</t>
  </si>
  <si>
    <t>salvador</t>
  </si>
  <si>
    <t>ซัลวาดอ</t>
  </si>
  <si>
    <t>سلواڈور</t>
  </si>
  <si>
    <t>ساو باولو</t>
  </si>
  <si>
    <t>圣保罗</t>
  </si>
  <si>
    <t>聖保羅</t>
  </si>
  <si>
    <t>Σάο Πάολο</t>
  </si>
  <si>
    <t>סאו פאולו</t>
  </si>
  <si>
    <t>상파울루</t>
  </si>
  <si>
    <t>San Paulas</t>
  </si>
  <si>
    <t>Сао Паоло</t>
  </si>
  <si>
    <t>سائو پائولو</t>
  </si>
  <si>
    <t>São Paulo</t>
  </si>
  <si>
    <t>Сан-Паулу</t>
  </si>
  <si>
    <t>sao Paulo</t>
  </si>
  <si>
    <t>เซา เปาโล</t>
  </si>
  <si>
    <t>Сан -Паулу</t>
  </si>
  <si>
    <t>ساؤ پالو</t>
  </si>
  <si>
    <t>Календар Чемпіонату Світу 2014</t>
  </si>
  <si>
    <t>Copa Mundial de Fútbol - Brasil 2014</t>
  </si>
  <si>
    <t>Total</t>
  </si>
  <si>
    <t>AirDemis</t>
  </si>
  <si>
    <t>Tritaz</t>
  </si>
  <si>
    <t>Basile</t>
  </si>
  <si>
    <t>Toroseduto</t>
  </si>
  <si>
    <t>n-dru</t>
  </si>
  <si>
    <t>Differenza Reti</t>
  </si>
  <si>
    <t>Reti Segnate</t>
  </si>
  <si>
    <t>Classifica Avulsa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</si>
</sst>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;;;"/>
  </numFmts>
  <fonts count="25" x14ac:knownFonts="1">
    <font>
      <sz val="10"/>
      <name val="Calibri"/>
      <charset val="204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8"/>
      <name val="Calibri"/>
      <family val="2"/>
      <charset val="204"/>
    </font>
    <font>
      <b/>
      <sz val="16"/>
      <name val="Calibri"/>
      <family val="2"/>
      <charset val="204"/>
    </font>
    <font>
      <sz val="10"/>
      <color indexed="12"/>
      <name val="Calibri"/>
      <family val="2"/>
      <charset val="204"/>
    </font>
    <font>
      <sz val="10"/>
      <name val="Calibri"/>
      <family val="2"/>
      <charset val="204"/>
    </font>
    <font>
      <sz val="8"/>
      <name val="Calibri"/>
      <family val="2"/>
      <charset val="204"/>
    </font>
    <font>
      <b/>
      <sz val="12"/>
      <name val="Calibri"/>
      <family val="2"/>
      <charset val="204"/>
    </font>
    <font>
      <u/>
      <sz val="10"/>
      <color indexed="12"/>
      <name val="Calibri"/>
      <family val="2"/>
      <charset val="204"/>
    </font>
    <font>
      <u/>
      <sz val="8"/>
      <color indexed="12"/>
      <name val="Calibri"/>
      <family val="2"/>
      <charset val="204"/>
    </font>
    <font>
      <b/>
      <sz val="16"/>
      <color indexed="12"/>
      <name val="Calibri"/>
      <family val="2"/>
      <charset val="204"/>
    </font>
    <font>
      <b/>
      <sz val="10"/>
      <name val="Calibri"/>
      <family val="2"/>
      <charset val="204"/>
    </font>
    <font>
      <sz val="16"/>
      <name val="Calibri"/>
      <family val="2"/>
      <charset val="204"/>
      <scheme val="minor"/>
    </font>
    <font>
      <sz val="10"/>
      <name val="Calibri"/>
      <charset val="204"/>
    </font>
    <font>
      <sz val="10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</font>
    <font>
      <b/>
      <sz val="36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2"/>
      </right>
      <top style="thin">
        <color indexed="12"/>
      </top>
      <bottom style="hair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 style="hair">
        <color indexed="12"/>
      </right>
      <top style="thin">
        <color indexed="12"/>
      </top>
      <bottom style="hair">
        <color indexed="12"/>
      </bottom>
      <diagonal/>
    </border>
    <border>
      <left style="hair">
        <color indexed="12"/>
      </left>
      <right style="thin">
        <color indexed="12"/>
      </right>
      <top style="thin">
        <color indexed="12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thin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 style="thin">
        <color indexed="12"/>
      </right>
      <top style="hair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/>
      <top style="thin">
        <color indexed="48"/>
      </top>
      <bottom style="hair">
        <color indexed="48"/>
      </bottom>
      <diagonal/>
    </border>
    <border>
      <left/>
      <right/>
      <top style="thin">
        <color indexed="48"/>
      </top>
      <bottom style="hair">
        <color indexed="48"/>
      </bottom>
      <diagonal/>
    </border>
    <border>
      <left/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/>
      <top style="thin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/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/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thin">
        <color indexed="48"/>
      </bottom>
      <diagonal/>
    </border>
    <border>
      <left/>
      <right/>
      <top style="hair">
        <color indexed="48"/>
      </top>
      <bottom style="thin">
        <color indexed="48"/>
      </bottom>
      <diagonal/>
    </border>
    <border>
      <left/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/>
      <top style="hair">
        <color indexed="48"/>
      </top>
      <bottom style="thin">
        <color indexed="48"/>
      </bottom>
      <diagonal/>
    </border>
    <border>
      <left/>
      <right style="thin">
        <color indexed="48"/>
      </right>
      <top style="thin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thin">
        <color indexed="48"/>
      </bottom>
      <diagonal/>
    </border>
    <border>
      <left/>
      <right style="hair">
        <color indexed="48"/>
      </right>
      <top style="thin">
        <color indexed="48"/>
      </top>
      <bottom style="thin">
        <color indexed="48"/>
      </bottom>
      <diagonal/>
    </border>
    <border>
      <left/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48"/>
      </left>
      <right/>
      <top style="thin">
        <color indexed="48"/>
      </top>
      <bottom style="thin">
        <color indexed="48"/>
      </bottom>
      <diagonal/>
    </border>
    <border>
      <left style="thin">
        <color indexed="48"/>
      </left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thin">
        <color indexed="48"/>
      </bottom>
      <diagonal/>
    </border>
    <border>
      <left style="thin">
        <color indexed="48"/>
      </left>
      <right style="hair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medium">
        <color indexed="12"/>
      </top>
      <bottom/>
      <diagonal/>
    </border>
    <border>
      <left/>
      <right/>
      <top/>
      <bottom style="hair">
        <color indexed="48"/>
      </bottom>
      <diagonal/>
    </border>
    <border>
      <left/>
      <right style="hair">
        <color indexed="48"/>
      </right>
      <top/>
      <bottom style="hair">
        <color indexed="48"/>
      </bottom>
      <diagonal/>
    </border>
    <border>
      <left style="hair">
        <color indexed="48"/>
      </left>
      <right/>
      <top/>
      <bottom style="hair">
        <color indexed="48"/>
      </bottom>
      <diagonal/>
    </border>
    <border>
      <left/>
      <right style="thin">
        <color indexed="48"/>
      </right>
      <top/>
      <bottom style="hair">
        <color indexed="48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  <border>
      <left style="hair">
        <color indexed="48"/>
      </left>
      <right style="thin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indexed="48"/>
      </left>
      <right/>
      <top style="thin">
        <color theme="3" tint="0.39991454817346722"/>
      </top>
      <bottom style="hair">
        <color indexed="48"/>
      </bottom>
      <diagonal/>
    </border>
    <border>
      <left/>
      <right/>
      <top style="thin">
        <color theme="3" tint="0.39991454817346722"/>
      </top>
      <bottom style="hair">
        <color indexed="48"/>
      </bottom>
      <diagonal/>
    </border>
    <border>
      <left/>
      <right style="hair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theme="3" tint="0.39991454817346722"/>
      </top>
      <bottom style="thin">
        <color rgb="FFB2B2B2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4" fillId="7" borderId="72" applyNumberFormat="0" applyFont="0" applyAlignment="0" applyProtection="0"/>
    <xf numFmtId="0" fontId="1" fillId="0" borderId="0"/>
  </cellStyleXfs>
  <cellXfs count="166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8" fillId="2" borderId="1" xfId="0" applyFont="1" applyFill="1" applyBorder="1" applyAlignment="1" applyProtection="1">
      <alignment horizontal="left" indent="1"/>
      <protection hidden="1"/>
    </xf>
    <xf numFmtId="0" fontId="6" fillId="2" borderId="2" xfId="0" applyFont="1" applyFill="1" applyBorder="1" applyAlignment="1" applyProtection="1">
      <alignment horizontal="left"/>
      <protection hidden="1"/>
    </xf>
    <xf numFmtId="0" fontId="6" fillId="2" borderId="3" xfId="0" applyFont="1" applyFill="1" applyBorder="1" applyProtection="1">
      <protection hidden="1"/>
    </xf>
    <xf numFmtId="0" fontId="6" fillId="2" borderId="4" xfId="0" applyFont="1" applyFill="1" applyBorder="1" applyProtection="1">
      <protection hidden="1"/>
    </xf>
    <xf numFmtId="0" fontId="6" fillId="2" borderId="0" xfId="0" applyFont="1" applyFill="1" applyBorder="1" applyAlignment="1" applyProtection="1">
      <alignment horizontal="left"/>
      <protection hidden="1"/>
    </xf>
    <xf numFmtId="0" fontId="6" fillId="2" borderId="5" xfId="0" applyFont="1" applyFill="1" applyBorder="1" applyProtection="1">
      <protection hidden="1"/>
    </xf>
    <xf numFmtId="0" fontId="6" fillId="2" borderId="4" xfId="0" applyFont="1" applyFill="1" applyBorder="1" applyAlignment="1" applyProtection="1">
      <alignment horizontal="right" vertical="center"/>
      <protection hidden="1"/>
    </xf>
    <xf numFmtId="0" fontId="6" fillId="3" borderId="6" xfId="0" applyFont="1" applyFill="1" applyBorder="1" applyAlignment="1" applyProtection="1">
      <alignment horizontal="left" vertical="center" indent="1"/>
      <protection locked="0"/>
    </xf>
    <xf numFmtId="0" fontId="6" fillId="2" borderId="7" xfId="0" applyFont="1" applyFill="1" applyBorder="1" applyProtection="1">
      <protection hidden="1"/>
    </xf>
    <xf numFmtId="0" fontId="6" fillId="2" borderId="8" xfId="0" applyFont="1" applyFill="1" applyBorder="1" applyAlignment="1" applyProtection="1">
      <alignment horizontal="left"/>
      <protection hidden="1"/>
    </xf>
    <xf numFmtId="0" fontId="6" fillId="2" borderId="9" xfId="0" applyFont="1" applyFill="1" applyBorder="1" applyProtection="1"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6" fillId="3" borderId="6" xfId="0" applyFont="1" applyFill="1" applyBorder="1" applyAlignment="1" applyProtection="1">
      <alignment horizontal="left" indent="1"/>
      <protection locked="0"/>
    </xf>
    <xf numFmtId="0" fontId="0" fillId="0" borderId="12" xfId="0" applyBorder="1" applyAlignment="1" applyProtection="1">
      <alignment vertical="center" shrinkToFit="1"/>
      <protection hidden="1"/>
    </xf>
    <xf numFmtId="0" fontId="0" fillId="0" borderId="13" xfId="0" applyBorder="1" applyAlignment="1" applyProtection="1">
      <alignment vertical="center" shrinkToFit="1"/>
      <protection hidden="1"/>
    </xf>
    <xf numFmtId="0" fontId="0" fillId="0" borderId="14" xfId="0" applyBorder="1" applyAlignment="1" applyProtection="1">
      <alignment vertical="center" shrinkToFit="1"/>
      <protection hidden="1"/>
    </xf>
    <xf numFmtId="0" fontId="0" fillId="0" borderId="0" xfId="0" applyAlignment="1" applyProtection="1">
      <alignment vertical="center" shrinkToFit="1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0" borderId="15" xfId="0" applyBorder="1" applyAlignment="1" applyProtection="1">
      <alignment horizontal="center" vertical="center" shrinkToFit="1"/>
      <protection hidden="1"/>
    </xf>
    <xf numFmtId="0" fontId="0" fillId="0" borderId="16" xfId="0" applyBorder="1" applyAlignment="1" applyProtection="1">
      <alignment horizontal="center" vertical="center" shrinkToFit="1"/>
      <protection hidden="1"/>
    </xf>
    <xf numFmtId="0" fontId="0" fillId="0" borderId="17" xfId="0" applyBorder="1" applyAlignment="1" applyProtection="1">
      <alignment horizontal="center" vertical="center" shrinkToFit="1"/>
      <protection hidden="1"/>
    </xf>
    <xf numFmtId="0" fontId="0" fillId="0" borderId="18" xfId="0" applyBorder="1" applyAlignment="1" applyProtection="1">
      <alignment horizontal="center" vertical="center" shrinkToFit="1"/>
      <protection hidden="1"/>
    </xf>
    <xf numFmtId="0" fontId="0" fillId="0" borderId="19" xfId="0" applyBorder="1" applyAlignment="1" applyProtection="1">
      <alignment horizontal="center" vertical="center" shrinkToFit="1"/>
      <protection hidden="1"/>
    </xf>
    <xf numFmtId="0" fontId="0" fillId="0" borderId="20" xfId="0" applyBorder="1" applyAlignment="1" applyProtection="1">
      <alignment horizontal="center" vertical="center" shrinkToFit="1"/>
      <protection hidden="1"/>
    </xf>
    <xf numFmtId="0" fontId="0" fillId="0" borderId="0" xfId="0" applyBorder="1" applyAlignment="1" applyProtection="1">
      <alignment vertical="center" shrinkToFit="1"/>
      <protection hidden="1"/>
    </xf>
    <xf numFmtId="0" fontId="0" fillId="0" borderId="0" xfId="0" applyBorder="1" applyAlignment="1" applyProtection="1">
      <alignment horizontal="center" vertical="center" shrinkToFit="1"/>
      <protection hidden="1"/>
    </xf>
    <xf numFmtId="0" fontId="7" fillId="2" borderId="21" xfId="0" applyFont="1" applyFill="1" applyBorder="1" applyAlignment="1" applyProtection="1">
      <alignment horizontal="left" vertical="center"/>
      <protection hidden="1"/>
    </xf>
    <xf numFmtId="0" fontId="7" fillId="2" borderId="22" xfId="0" applyFont="1" applyFill="1" applyBorder="1" applyAlignment="1" applyProtection="1">
      <alignment horizontal="left" vertical="center"/>
      <protection hidden="1"/>
    </xf>
    <xf numFmtId="0" fontId="6" fillId="2" borderId="23" xfId="0" applyFont="1" applyFill="1" applyBorder="1" applyProtection="1">
      <protection hidden="1"/>
    </xf>
    <xf numFmtId="0" fontId="6" fillId="2" borderId="4" xfId="0" applyFont="1" applyFill="1" applyBorder="1" applyAlignment="1" applyProtection="1">
      <alignment horizontal="left" indent="1"/>
      <protection hidden="1"/>
    </xf>
    <xf numFmtId="0" fontId="8" fillId="2" borderId="24" xfId="0" applyFont="1" applyFill="1" applyBorder="1" applyAlignment="1" applyProtection="1">
      <alignment horizontal="center"/>
      <protection hidden="1"/>
    </xf>
    <xf numFmtId="0" fontId="6" fillId="0" borderId="0" xfId="0" applyNumberFormat="1" applyFont="1" applyProtection="1">
      <protection hidden="1"/>
    </xf>
    <xf numFmtId="0" fontId="6" fillId="2" borderId="22" xfId="0" applyFont="1" applyFill="1" applyBorder="1" applyProtection="1">
      <protection hidden="1"/>
    </xf>
    <xf numFmtId="0" fontId="6" fillId="2" borderId="4" xfId="0" applyFont="1" applyFill="1" applyBorder="1" applyAlignment="1" applyProtection="1">
      <alignment horizontal="right"/>
      <protection hidden="1"/>
    </xf>
    <xf numFmtId="0" fontId="6" fillId="4" borderId="26" xfId="0" applyFont="1" applyFill="1" applyBorder="1" applyProtection="1">
      <protection hidden="1"/>
    </xf>
    <xf numFmtId="0" fontId="6" fillId="0" borderId="0" xfId="0" applyNumberFormat="1" applyFont="1" applyAlignment="1" applyProtection="1">
      <alignment vertical="center"/>
      <protection hidden="1"/>
    </xf>
    <xf numFmtId="165" fontId="7" fillId="0" borderId="0" xfId="0" applyNumberFormat="1" applyFont="1" applyFill="1" applyAlignment="1" applyProtection="1">
      <alignment horizontal="left" vertical="center"/>
      <protection hidden="1"/>
    </xf>
    <xf numFmtId="165" fontId="6" fillId="0" borderId="0" xfId="0" applyNumberFormat="1" applyFont="1" applyFill="1" applyProtection="1">
      <protection hidden="1"/>
    </xf>
    <xf numFmtId="165" fontId="6" fillId="0" borderId="0" xfId="0" applyNumberFormat="1" applyFont="1" applyFill="1" applyAlignment="1" applyProtection="1">
      <alignment horizontal="left"/>
      <protection hidden="1"/>
    </xf>
    <xf numFmtId="165" fontId="7" fillId="0" borderId="0" xfId="0" quotePrefix="1" applyNumberFormat="1" applyFont="1" applyFill="1" applyAlignment="1" applyProtection="1">
      <alignment horizontal="left" vertical="center"/>
      <protection hidden="1"/>
    </xf>
    <xf numFmtId="0" fontId="6" fillId="2" borderId="0" xfId="0" applyFont="1" applyFill="1" applyBorder="1" applyProtection="1">
      <protection hidden="1"/>
    </xf>
    <xf numFmtId="0" fontId="2" fillId="0" borderId="0" xfId="0" applyFont="1"/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12" fillId="5" borderId="10" xfId="0" applyFont="1" applyFill="1" applyBorder="1" applyAlignment="1" applyProtection="1">
      <alignment horizontal="center" vertical="center" shrinkToFit="1"/>
      <protection hidden="1"/>
    </xf>
    <xf numFmtId="0" fontId="12" fillId="5" borderId="11" xfId="0" applyFont="1" applyFill="1" applyBorder="1" applyAlignment="1" applyProtection="1">
      <alignment horizontal="center" vertical="center" shrinkToFit="1"/>
      <protection hidden="1"/>
    </xf>
    <xf numFmtId="0" fontId="6" fillId="6" borderId="48" xfId="0" applyFont="1" applyFill="1" applyBorder="1" applyAlignment="1" applyProtection="1">
      <alignment horizontal="center" vertical="center"/>
      <protection locked="0"/>
    </xf>
    <xf numFmtId="0" fontId="6" fillId="6" borderId="49" xfId="0" applyFont="1" applyFill="1" applyBorder="1" applyAlignment="1" applyProtection="1">
      <alignment horizontal="center" vertical="center"/>
      <protection locked="0"/>
    </xf>
    <xf numFmtId="0" fontId="6" fillId="6" borderId="50" xfId="0" applyFont="1" applyFill="1" applyBorder="1" applyAlignment="1" applyProtection="1">
      <alignment horizontal="center" vertical="center"/>
      <protection locked="0"/>
    </xf>
    <xf numFmtId="0" fontId="6" fillId="6" borderId="51" xfId="0" applyFont="1" applyFill="1" applyBorder="1" applyAlignment="1" applyProtection="1">
      <alignment horizontal="center" vertical="center"/>
      <protection locked="0"/>
    </xf>
    <xf numFmtId="0" fontId="6" fillId="6" borderId="46" xfId="0" applyFont="1" applyFill="1" applyBorder="1" applyAlignment="1" applyProtection="1">
      <alignment horizontal="center" vertical="center"/>
      <protection locked="0"/>
    </xf>
    <xf numFmtId="0" fontId="6" fillId="6" borderId="47" xfId="0" applyFont="1" applyFill="1" applyBorder="1" applyAlignment="1" applyProtection="1">
      <alignment horizontal="center" vertical="center"/>
      <protection locked="0"/>
    </xf>
    <xf numFmtId="0" fontId="6" fillId="6" borderId="52" xfId="0" applyFont="1" applyFill="1" applyBorder="1" applyAlignment="1" applyProtection="1">
      <alignment horizontal="center" vertical="center"/>
      <protection locked="0"/>
    </xf>
    <xf numFmtId="0" fontId="6" fillId="6" borderId="53" xfId="0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Fill="1" applyBorder="1" applyAlignment="1" applyProtection="1">
      <alignment vertical="center"/>
      <protection hidden="1"/>
    </xf>
    <xf numFmtId="165" fontId="2" fillId="0" borderId="0" xfId="0" applyNumberFormat="1" applyFont="1" applyFill="1" applyAlignment="1" applyProtection="1">
      <alignment vertical="center"/>
      <protection hidden="1"/>
    </xf>
    <xf numFmtId="165" fontId="2" fillId="0" borderId="0" xfId="0" applyNumberFormat="1" applyFont="1" applyFill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vertic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/>
      <protection hidden="1"/>
    </xf>
    <xf numFmtId="0" fontId="2" fillId="3" borderId="6" xfId="0" applyFont="1" applyFill="1" applyBorder="1" applyAlignment="1" applyProtection="1">
      <alignment horizontal="left" indent="1"/>
      <protection locked="0"/>
    </xf>
    <xf numFmtId="0" fontId="0" fillId="0" borderId="66" xfId="0" applyFill="1" applyBorder="1" applyAlignment="1" applyProtection="1">
      <alignment horizontal="center" vertical="center" shrinkToFit="1"/>
      <protection hidden="1"/>
    </xf>
    <xf numFmtId="0" fontId="2" fillId="0" borderId="67" xfId="0" applyFont="1" applyFill="1" applyBorder="1" applyAlignment="1" applyProtection="1">
      <alignment horizontal="center" vertical="center" shrinkToFit="1"/>
      <protection hidden="1"/>
    </xf>
    <xf numFmtId="0" fontId="0" fillId="0" borderId="67" xfId="0" applyFill="1" applyBorder="1" applyAlignment="1" applyProtection="1">
      <alignment horizontal="center" vertical="center" shrinkToFit="1"/>
      <protection hidden="1"/>
    </xf>
    <xf numFmtId="164" fontId="0" fillId="0" borderId="68" xfId="0" applyNumberFormat="1" applyFill="1" applyBorder="1" applyAlignment="1" applyProtection="1">
      <alignment horizontal="center" vertical="center" shrinkToFit="1"/>
      <protection hidden="1"/>
    </xf>
    <xf numFmtId="0" fontId="0" fillId="0" borderId="65" xfId="0" applyFill="1" applyBorder="1" applyAlignment="1" applyProtection="1">
      <alignment horizontal="right" vertical="center" indent="3" shrinkToFit="1"/>
      <protection hidden="1"/>
    </xf>
    <xf numFmtId="0" fontId="0" fillId="0" borderId="32" xfId="0" applyFill="1" applyBorder="1" applyAlignment="1" applyProtection="1">
      <alignment horizontal="center" vertical="center" shrinkToFit="1"/>
      <protection hidden="1"/>
    </xf>
    <xf numFmtId="0" fontId="2" fillId="0" borderId="33" xfId="0" applyFont="1" applyFill="1" applyBorder="1" applyAlignment="1" applyProtection="1">
      <alignment horizontal="center" vertical="center" shrinkToFit="1"/>
      <protection hidden="1"/>
    </xf>
    <xf numFmtId="0" fontId="0" fillId="0" borderId="33" xfId="0" applyFill="1" applyBorder="1" applyAlignment="1" applyProtection="1">
      <alignment horizontal="center" vertical="center" shrinkToFit="1"/>
      <protection hidden="1"/>
    </xf>
    <xf numFmtId="164" fontId="0" fillId="0" borderId="34" xfId="0" applyNumberFormat="1" applyFill="1" applyBorder="1" applyAlignment="1" applyProtection="1">
      <alignment horizontal="center" vertical="center" shrinkToFit="1"/>
      <protection hidden="1"/>
    </xf>
    <xf numFmtId="0" fontId="0" fillId="0" borderId="49" xfId="0" applyFill="1" applyBorder="1" applyAlignment="1" applyProtection="1">
      <alignment horizontal="right" vertical="center" indent="3" shrinkToFit="1"/>
      <protection hidden="1"/>
    </xf>
    <xf numFmtId="0" fontId="0" fillId="0" borderId="36" xfId="0" applyFill="1" applyBorder="1" applyAlignment="1" applyProtection="1">
      <alignment horizontal="center" vertical="center" shrinkToFit="1"/>
      <protection hidden="1"/>
    </xf>
    <xf numFmtId="0" fontId="2" fillId="0" borderId="37" xfId="0" applyFont="1" applyFill="1" applyBorder="1" applyAlignment="1" applyProtection="1">
      <alignment horizontal="center" vertical="center" shrinkToFit="1"/>
      <protection hidden="1"/>
    </xf>
    <xf numFmtId="0" fontId="0" fillId="0" borderId="37" xfId="0" applyFill="1" applyBorder="1" applyAlignment="1" applyProtection="1">
      <alignment horizontal="center" vertical="center" shrinkToFit="1"/>
      <protection hidden="1"/>
    </xf>
    <xf numFmtId="164" fontId="0" fillId="0" borderId="38" xfId="0" applyNumberFormat="1" applyFill="1" applyBorder="1" applyAlignment="1" applyProtection="1">
      <alignment horizontal="center" vertical="center" shrinkToFit="1"/>
      <protection hidden="1"/>
    </xf>
    <xf numFmtId="0" fontId="0" fillId="0" borderId="51" xfId="0" applyFill="1" applyBorder="1" applyAlignment="1" applyProtection="1">
      <alignment horizontal="right" vertical="center" indent="3" shrinkToFit="1"/>
      <protection hidden="1"/>
    </xf>
    <xf numFmtId="0" fontId="0" fillId="0" borderId="56" xfId="0" applyFill="1" applyBorder="1" applyAlignment="1" applyProtection="1">
      <alignment horizontal="left" vertical="center" indent="3" shrinkToFit="1"/>
      <protection hidden="1"/>
    </xf>
    <xf numFmtId="0" fontId="0" fillId="0" borderId="34" xfId="0" applyFill="1" applyBorder="1" applyAlignment="1" applyProtection="1">
      <alignment horizontal="left" vertical="center" indent="3" shrinkToFit="1"/>
      <protection hidden="1"/>
    </xf>
    <xf numFmtId="0" fontId="0" fillId="0" borderId="38" xfId="0" applyFill="1" applyBorder="1" applyAlignment="1" applyProtection="1">
      <alignment horizontal="left" vertical="center" indent="3" shrinkToFit="1"/>
      <protection hidden="1"/>
    </xf>
    <xf numFmtId="0" fontId="0" fillId="0" borderId="28" xfId="0" applyFill="1" applyBorder="1" applyAlignment="1" applyProtection="1">
      <alignment horizontal="center" vertical="center" shrinkToFit="1"/>
      <protection hidden="1"/>
    </xf>
    <xf numFmtId="0" fontId="2" fillId="0" borderId="29" xfId="0" applyFont="1" applyFill="1" applyBorder="1" applyAlignment="1" applyProtection="1">
      <alignment horizontal="center" vertical="center" shrinkToFit="1"/>
      <protection hidden="1"/>
    </xf>
    <xf numFmtId="0" fontId="0" fillId="0" borderId="29" xfId="0" applyFill="1" applyBorder="1" applyAlignment="1" applyProtection="1">
      <alignment horizontal="center" vertical="center" shrinkToFit="1"/>
      <protection hidden="1"/>
    </xf>
    <xf numFmtId="164" fontId="0" fillId="0" borderId="30" xfId="0" applyNumberFormat="1" applyFill="1" applyBorder="1" applyAlignment="1" applyProtection="1">
      <alignment horizontal="center" vertical="center" shrinkToFit="1"/>
      <protection hidden="1"/>
    </xf>
    <xf numFmtId="0" fontId="0" fillId="0" borderId="31" xfId="0" applyFill="1" applyBorder="1" applyAlignment="1" applyProtection="1">
      <alignment horizontal="right" vertical="center" shrinkToFit="1"/>
      <protection hidden="1"/>
    </xf>
    <xf numFmtId="0" fontId="0" fillId="0" borderId="35" xfId="0" applyFill="1" applyBorder="1" applyAlignment="1" applyProtection="1">
      <alignment horizontal="right" vertical="center" shrinkToFit="1"/>
      <protection hidden="1"/>
    </xf>
    <xf numFmtId="0" fontId="0" fillId="0" borderId="39" xfId="0" applyFill="1" applyBorder="1" applyAlignment="1" applyProtection="1">
      <alignment horizontal="right" vertical="center" shrinkToFit="1"/>
      <protection hidden="1"/>
    </xf>
    <xf numFmtId="0" fontId="0" fillId="0" borderId="30" xfId="0" applyFill="1" applyBorder="1" applyAlignment="1" applyProtection="1">
      <alignment horizontal="left" vertical="center" shrinkToFit="1"/>
      <protection hidden="1"/>
    </xf>
    <xf numFmtId="0" fontId="2" fillId="0" borderId="40" xfId="0" applyFont="1" applyFill="1" applyBorder="1" applyAlignment="1" applyProtection="1">
      <alignment horizontal="right" vertical="center" shrinkToFit="1"/>
      <protection hidden="1"/>
    </xf>
    <xf numFmtId="0" fontId="0" fillId="0" borderId="34" xfId="0" applyFill="1" applyBorder="1" applyAlignment="1" applyProtection="1">
      <alignment horizontal="left" vertical="center" shrinkToFit="1"/>
      <protection hidden="1"/>
    </xf>
    <xf numFmtId="0" fontId="2" fillId="0" borderId="41" xfId="0" applyFont="1" applyFill="1" applyBorder="1" applyAlignment="1" applyProtection="1">
      <alignment horizontal="right" vertical="center" shrinkToFit="1"/>
      <protection hidden="1"/>
    </xf>
    <xf numFmtId="0" fontId="0" fillId="0" borderId="38" xfId="0" applyFill="1" applyBorder="1" applyAlignment="1" applyProtection="1">
      <alignment horizontal="left" vertical="center" shrinkToFit="1"/>
      <protection hidden="1"/>
    </xf>
    <xf numFmtId="0" fontId="2" fillId="0" borderId="42" xfId="0" applyFont="1" applyFill="1" applyBorder="1" applyAlignment="1" applyProtection="1">
      <alignment horizontal="right" vertical="center" shrinkToFit="1"/>
      <protection hidden="1"/>
    </xf>
    <xf numFmtId="0" fontId="0" fillId="0" borderId="40" xfId="0" applyFill="1" applyBorder="1" applyAlignment="1" applyProtection="1">
      <alignment horizontal="right" vertical="center" shrinkToFit="1"/>
      <protection hidden="1"/>
    </xf>
    <xf numFmtId="0" fontId="0" fillId="0" borderId="41" xfId="0" applyFill="1" applyBorder="1" applyAlignment="1" applyProtection="1">
      <alignment horizontal="right" vertical="center" shrinkToFit="1"/>
      <protection hidden="1"/>
    </xf>
    <xf numFmtId="0" fontId="0" fillId="0" borderId="42" xfId="0" applyFill="1" applyBorder="1" applyAlignment="1" applyProtection="1">
      <alignment horizontal="right" vertical="center" shrinkToFit="1"/>
      <protection hidden="1"/>
    </xf>
    <xf numFmtId="0" fontId="6" fillId="0" borderId="29" xfId="0" applyFont="1" applyFill="1" applyBorder="1" applyAlignment="1" applyProtection="1">
      <alignment horizontal="center" vertical="center" shrinkToFit="1"/>
      <protection hidden="1"/>
    </xf>
    <xf numFmtId="0" fontId="6" fillId="0" borderId="33" xfId="0" applyFont="1" applyFill="1" applyBorder="1" applyAlignment="1" applyProtection="1">
      <alignment horizontal="center" vertical="center" shrinkToFit="1"/>
      <protection hidden="1"/>
    </xf>
    <xf numFmtId="0" fontId="6" fillId="0" borderId="37" xfId="0" applyFont="1" applyFill="1" applyBorder="1" applyAlignment="1" applyProtection="1">
      <alignment horizontal="center" vertical="center" shrinkToFit="1"/>
      <protection hidden="1"/>
    </xf>
    <xf numFmtId="0" fontId="0" fillId="0" borderId="43" xfId="0" applyFill="1" applyBorder="1" applyAlignment="1" applyProtection="1">
      <alignment horizontal="left" vertical="center" shrinkToFit="1"/>
      <protection hidden="1"/>
    </xf>
    <xf numFmtId="0" fontId="0" fillId="0" borderId="44" xfId="0" applyFill="1" applyBorder="1" applyAlignment="1" applyProtection="1">
      <alignment horizontal="right" vertical="center" shrinkToFit="1"/>
      <protection hidden="1"/>
    </xf>
    <xf numFmtId="0" fontId="0" fillId="0" borderId="45" xfId="0" applyFill="1" applyBorder="1" applyAlignment="1" applyProtection="1">
      <alignment horizontal="right" vertical="center" shrinkToFit="1"/>
      <protection hidden="1"/>
    </xf>
    <xf numFmtId="0" fontId="0" fillId="0" borderId="0" xfId="0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Border="1" applyAlignment="1" applyProtection="1">
      <alignment horizontal="center" vertical="center" shrinkToFit="1"/>
      <protection hidden="1"/>
    </xf>
    <xf numFmtId="164" fontId="0" fillId="0" borderId="0" xfId="0" applyNumberFormat="1" applyFill="1" applyBorder="1" applyAlignment="1" applyProtection="1">
      <alignment horizontal="center" vertical="center" shrinkToFit="1"/>
      <protection hidden="1"/>
    </xf>
    <xf numFmtId="0" fontId="0" fillId="0" borderId="0" xfId="0" applyFill="1" applyBorder="1" applyAlignment="1" applyProtection="1">
      <alignment horizontal="right" vertical="center" indent="3" shrinkToFit="1"/>
      <protection hidden="1"/>
    </xf>
    <xf numFmtId="0" fontId="0" fillId="0" borderId="0" xfId="0" applyFill="1" applyBorder="1" applyAlignment="1" applyProtection="1">
      <alignment horizontal="left" vertical="center" indent="3" shrinkToFit="1"/>
      <protection hidden="1"/>
    </xf>
    <xf numFmtId="0" fontId="2" fillId="0" borderId="0" xfId="0" applyFont="1" applyFill="1" applyBorder="1" applyAlignment="1" applyProtection="1">
      <alignment horizontal="right" vertical="center" shrinkToFit="1"/>
      <protection hidden="1"/>
    </xf>
    <xf numFmtId="0" fontId="0" fillId="0" borderId="0" xfId="0" applyFill="1" applyBorder="1" applyAlignment="1" applyProtection="1">
      <alignment horizontal="right" vertical="center" shrinkToFit="1"/>
      <protection hidden="1"/>
    </xf>
    <xf numFmtId="0" fontId="0" fillId="0" borderId="0" xfId="0" applyFill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shrinkToFit="1"/>
      <protection hidden="1"/>
    </xf>
    <xf numFmtId="0" fontId="0" fillId="0" borderId="0" xfId="0" applyProtection="1"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vertical="center"/>
      <protection hidden="1"/>
    </xf>
    <xf numFmtId="0" fontId="6" fillId="3" borderId="69" xfId="0" applyFont="1" applyFill="1" applyBorder="1" applyAlignment="1" applyProtection="1">
      <alignment horizontal="center"/>
      <protection locked="0"/>
    </xf>
    <xf numFmtId="0" fontId="6" fillId="3" borderId="70" xfId="0" applyFont="1" applyFill="1" applyBorder="1" applyAlignment="1" applyProtection="1">
      <alignment horizontal="center"/>
      <protection locked="0"/>
    </xf>
    <xf numFmtId="0" fontId="6" fillId="3" borderId="71" xfId="0" applyFont="1" applyFill="1" applyBorder="1" applyAlignment="1" applyProtection="1">
      <alignment horizontal="center"/>
      <protection locked="0"/>
    </xf>
    <xf numFmtId="0" fontId="15" fillId="7" borderId="73" xfId="2" applyFont="1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/>
      <protection hidden="1"/>
    </xf>
    <xf numFmtId="0" fontId="16" fillId="0" borderId="0" xfId="0" applyFont="1" applyFill="1" applyBorder="1" applyAlignment="1" applyProtection="1">
      <alignment horizontal="right" vertical="center" indent="2"/>
      <protection hidden="1"/>
    </xf>
    <xf numFmtId="0" fontId="0" fillId="0" borderId="6" xfId="0" applyBorder="1" applyAlignment="1">
      <alignment horizontal="center"/>
    </xf>
    <xf numFmtId="0" fontId="17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21" fillId="0" borderId="6" xfId="0" applyFont="1" applyBorder="1" applyAlignment="1">
      <alignment horizontal="center"/>
    </xf>
    <xf numFmtId="0" fontId="21" fillId="0" borderId="6" xfId="0" applyFont="1" applyBorder="1" applyAlignment="1" applyProtection="1">
      <alignment horizontal="center"/>
      <protection locked="0"/>
    </xf>
    <xf numFmtId="0" fontId="1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/>
    <xf numFmtId="0" fontId="2" fillId="0" borderId="35" xfId="0" applyFont="1" applyFill="1" applyBorder="1" applyAlignment="1" applyProtection="1">
      <alignment horizontal="right" vertical="center" shrinkToFit="1"/>
      <protection hidden="1"/>
    </xf>
    <xf numFmtId="0" fontId="0" fillId="0" borderId="33" xfId="0" applyFill="1" applyBorder="1" applyAlignment="1" applyProtection="1">
      <alignment horizontal="right" vertical="center" shrinkToFit="1"/>
      <protection hidden="1"/>
    </xf>
    <xf numFmtId="0" fontId="0" fillId="0" borderId="41" xfId="0" applyFill="1" applyBorder="1" applyAlignment="1" applyProtection="1">
      <alignment horizontal="right" vertical="center" shrinkToFit="1"/>
      <protection hidden="1"/>
    </xf>
    <xf numFmtId="0" fontId="10" fillId="0" borderId="0" xfId="1" applyFont="1" applyAlignment="1" applyProtection="1">
      <alignment horizontal="right"/>
      <protection hidden="1"/>
    </xf>
    <xf numFmtId="0" fontId="13" fillId="5" borderId="59" xfId="0" applyFont="1" applyFill="1" applyBorder="1" applyAlignment="1" applyProtection="1">
      <alignment horizontal="center" vertical="center"/>
      <protection hidden="1"/>
    </xf>
    <xf numFmtId="0" fontId="13" fillId="5" borderId="60" xfId="0" applyFont="1" applyFill="1" applyBorder="1" applyAlignment="1" applyProtection="1">
      <alignment horizontal="center" vertical="center"/>
      <protection hidden="1"/>
    </xf>
    <xf numFmtId="0" fontId="13" fillId="5" borderId="61" xfId="0" applyFont="1" applyFill="1" applyBorder="1" applyAlignment="1" applyProtection="1">
      <alignment horizontal="center" vertical="center"/>
      <protection hidden="1"/>
    </xf>
    <xf numFmtId="0" fontId="13" fillId="5" borderId="62" xfId="0" applyFont="1" applyFill="1" applyBorder="1" applyAlignment="1" applyProtection="1">
      <alignment horizontal="center" vertical="center"/>
      <protection hidden="1"/>
    </xf>
    <xf numFmtId="0" fontId="13" fillId="5" borderId="63" xfId="0" applyFont="1" applyFill="1" applyBorder="1" applyAlignment="1" applyProtection="1">
      <alignment horizontal="center" vertical="center"/>
      <protection hidden="1"/>
    </xf>
    <xf numFmtId="0" fontId="13" fillId="5" borderId="64" xfId="0" applyFont="1" applyFill="1" applyBorder="1" applyAlignment="1" applyProtection="1">
      <alignment horizontal="center" vertical="center"/>
      <protection hidden="1"/>
    </xf>
    <xf numFmtId="0" fontId="4" fillId="0" borderId="54" xfId="0" applyFont="1" applyBorder="1" applyAlignment="1" applyProtection="1">
      <alignment horizontal="center" vertical="center" shrinkToFit="1"/>
      <protection hidden="1"/>
    </xf>
    <xf numFmtId="0" fontId="4" fillId="0" borderId="0" xfId="0" applyFont="1" applyBorder="1" applyAlignment="1" applyProtection="1">
      <alignment horizontal="center" vertical="center" shrinkToFit="1"/>
      <protection hidden="1"/>
    </xf>
    <xf numFmtId="0" fontId="11" fillId="0" borderId="54" xfId="0" applyFont="1" applyBorder="1" applyAlignment="1" applyProtection="1">
      <alignment horizontal="center" vertical="center" shrinkToFit="1"/>
      <protection hidden="1"/>
    </xf>
    <xf numFmtId="0" fontId="11" fillId="0" borderId="0" xfId="0" applyFont="1" applyBorder="1" applyAlignment="1" applyProtection="1">
      <alignment horizontal="center" vertical="center" shrinkToFit="1"/>
      <protection hidden="1"/>
    </xf>
    <xf numFmtId="0" fontId="2" fillId="0" borderId="39" xfId="0" applyFont="1" applyFill="1" applyBorder="1" applyAlignment="1" applyProtection="1">
      <alignment horizontal="right" vertical="center" shrinkToFit="1"/>
      <protection hidden="1"/>
    </xf>
    <xf numFmtId="0" fontId="0" fillId="0" borderId="37" xfId="0" applyFill="1" applyBorder="1" applyAlignment="1" applyProtection="1">
      <alignment horizontal="right" vertical="center" shrinkToFit="1"/>
      <protection hidden="1"/>
    </xf>
    <xf numFmtId="0" fontId="0" fillId="0" borderId="42" xfId="0" applyFill="1" applyBorder="1" applyAlignment="1" applyProtection="1">
      <alignment horizontal="right" vertical="center" shrinkToFit="1"/>
      <protection hidden="1"/>
    </xf>
    <xf numFmtId="0" fontId="2" fillId="0" borderId="57" xfId="0" applyFont="1" applyFill="1" applyBorder="1" applyAlignment="1" applyProtection="1">
      <alignment horizontal="right" vertical="center" shrinkToFit="1"/>
      <protection hidden="1"/>
    </xf>
    <xf numFmtId="0" fontId="0" fillId="0" borderId="55" xfId="0" applyFill="1" applyBorder="1" applyAlignment="1" applyProtection="1">
      <alignment horizontal="right" vertical="center" shrinkToFit="1"/>
      <protection hidden="1"/>
    </xf>
    <xf numFmtId="0" fontId="0" fillId="0" borderId="58" xfId="0" applyFill="1" applyBorder="1" applyAlignment="1" applyProtection="1">
      <alignment horizontal="right" vertical="center" shrinkToFit="1"/>
      <protection hidden="1"/>
    </xf>
    <xf numFmtId="0" fontId="18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Fill="1" applyAlignment="1" applyProtection="1">
      <alignment horizontal="center" vertical="center"/>
      <protection hidden="1"/>
    </xf>
    <xf numFmtId="0" fontId="22" fillId="0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" fillId="4" borderId="27" xfId="0" applyFont="1" applyFill="1" applyBorder="1" applyProtection="1">
      <protection hidden="1"/>
    </xf>
    <xf numFmtId="0" fontId="2" fillId="4" borderId="25" xfId="0" applyFont="1" applyFill="1" applyBorder="1" applyProtection="1">
      <protection hidden="1"/>
    </xf>
    <xf numFmtId="0" fontId="24" fillId="0" borderId="0" xfId="0" applyFont="1" applyFill="1" applyAlignment="1" applyProtection="1">
      <alignment horizontal="center" vertical="center" shrinkToFit="1"/>
      <protection hidden="1"/>
    </xf>
  </cellXfs>
  <cellStyles count="4">
    <cellStyle name="Hyperlink" xfId="1" builtinId="8"/>
    <cellStyle name="Normal" xfId="0" builtinId="0"/>
    <cellStyle name="Normal 2" xfId="3"/>
    <cellStyle name="Note" xfId="2" builtinId="10"/>
  </cellStyles>
  <dxfs count="30">
    <dxf>
      <font>
        <color rgb="FFFF0000"/>
      </font>
    </dxf>
    <dxf>
      <font>
        <b/>
        <i val="0"/>
        <color theme="3" tint="0.39994506668294322"/>
      </font>
    </dxf>
    <dxf>
      <font>
        <b val="0"/>
        <i/>
        <color theme="6" tint="-0.24994659260841701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jpeg"/><Relationship Id="rId18" Type="http://schemas.openxmlformats.org/officeDocument/2006/relationships/image" Target="../media/image20.jpeg"/><Relationship Id="rId26" Type="http://schemas.openxmlformats.org/officeDocument/2006/relationships/image" Target="../media/image28.jpeg"/><Relationship Id="rId39" Type="http://schemas.openxmlformats.org/officeDocument/2006/relationships/image" Target="../media/image41.jpeg"/><Relationship Id="rId3" Type="http://schemas.openxmlformats.org/officeDocument/2006/relationships/image" Target="../media/image5.png"/><Relationship Id="rId21" Type="http://schemas.openxmlformats.org/officeDocument/2006/relationships/image" Target="../media/image23.jpeg"/><Relationship Id="rId34" Type="http://schemas.openxmlformats.org/officeDocument/2006/relationships/image" Target="../media/image36.jpeg"/><Relationship Id="rId42" Type="http://schemas.openxmlformats.org/officeDocument/2006/relationships/image" Target="../media/image44.jpeg"/><Relationship Id="rId47" Type="http://schemas.openxmlformats.org/officeDocument/2006/relationships/image" Target="../media/image49.jpeg"/><Relationship Id="rId7" Type="http://schemas.openxmlformats.org/officeDocument/2006/relationships/image" Target="../media/image9.jpeg"/><Relationship Id="rId12" Type="http://schemas.openxmlformats.org/officeDocument/2006/relationships/image" Target="../media/image14.png"/><Relationship Id="rId17" Type="http://schemas.openxmlformats.org/officeDocument/2006/relationships/image" Target="../media/image19.jpeg"/><Relationship Id="rId25" Type="http://schemas.openxmlformats.org/officeDocument/2006/relationships/image" Target="../media/image27.jpeg"/><Relationship Id="rId33" Type="http://schemas.openxmlformats.org/officeDocument/2006/relationships/image" Target="../media/image35.jpeg"/><Relationship Id="rId38" Type="http://schemas.openxmlformats.org/officeDocument/2006/relationships/image" Target="../media/image40.jpeg"/><Relationship Id="rId46" Type="http://schemas.openxmlformats.org/officeDocument/2006/relationships/image" Target="../media/image48.jpeg"/><Relationship Id="rId2" Type="http://schemas.openxmlformats.org/officeDocument/2006/relationships/image" Target="../media/image4.jpeg"/><Relationship Id="rId16" Type="http://schemas.openxmlformats.org/officeDocument/2006/relationships/image" Target="../media/image18.jpeg"/><Relationship Id="rId20" Type="http://schemas.openxmlformats.org/officeDocument/2006/relationships/image" Target="../media/image22.jpeg"/><Relationship Id="rId29" Type="http://schemas.openxmlformats.org/officeDocument/2006/relationships/image" Target="../media/image31.png"/><Relationship Id="rId41" Type="http://schemas.openxmlformats.org/officeDocument/2006/relationships/image" Target="../media/image43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24" Type="http://schemas.openxmlformats.org/officeDocument/2006/relationships/image" Target="../media/image26.jpeg"/><Relationship Id="rId32" Type="http://schemas.openxmlformats.org/officeDocument/2006/relationships/image" Target="../media/image34.jpeg"/><Relationship Id="rId37" Type="http://schemas.openxmlformats.org/officeDocument/2006/relationships/image" Target="../media/image39.jpeg"/><Relationship Id="rId40" Type="http://schemas.openxmlformats.org/officeDocument/2006/relationships/image" Target="../media/image42.jpeg"/><Relationship Id="rId45" Type="http://schemas.openxmlformats.org/officeDocument/2006/relationships/image" Target="../media/image47.jpeg"/><Relationship Id="rId5" Type="http://schemas.openxmlformats.org/officeDocument/2006/relationships/image" Target="../media/image7.jpeg"/><Relationship Id="rId15" Type="http://schemas.openxmlformats.org/officeDocument/2006/relationships/image" Target="../media/image17.jpeg"/><Relationship Id="rId23" Type="http://schemas.openxmlformats.org/officeDocument/2006/relationships/image" Target="../media/image25.jpeg"/><Relationship Id="rId28" Type="http://schemas.openxmlformats.org/officeDocument/2006/relationships/image" Target="../media/image30.png"/><Relationship Id="rId36" Type="http://schemas.openxmlformats.org/officeDocument/2006/relationships/image" Target="../media/image38.jpeg"/><Relationship Id="rId10" Type="http://schemas.openxmlformats.org/officeDocument/2006/relationships/image" Target="../media/image12.jpeg"/><Relationship Id="rId19" Type="http://schemas.openxmlformats.org/officeDocument/2006/relationships/image" Target="../media/image21.png"/><Relationship Id="rId31" Type="http://schemas.openxmlformats.org/officeDocument/2006/relationships/image" Target="../media/image33.jpeg"/><Relationship Id="rId44" Type="http://schemas.openxmlformats.org/officeDocument/2006/relationships/image" Target="../media/image46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Relationship Id="rId14" Type="http://schemas.openxmlformats.org/officeDocument/2006/relationships/image" Target="../media/image16.jpeg"/><Relationship Id="rId22" Type="http://schemas.openxmlformats.org/officeDocument/2006/relationships/image" Target="../media/image24.jpeg"/><Relationship Id="rId27" Type="http://schemas.openxmlformats.org/officeDocument/2006/relationships/image" Target="../media/image29.png"/><Relationship Id="rId30" Type="http://schemas.openxmlformats.org/officeDocument/2006/relationships/image" Target="../media/image32.jpeg"/><Relationship Id="rId35" Type="http://schemas.openxmlformats.org/officeDocument/2006/relationships/image" Target="../media/image37.jpeg"/><Relationship Id="rId43" Type="http://schemas.openxmlformats.org/officeDocument/2006/relationships/image" Target="../media/image45.jpeg"/><Relationship Id="rId48" Type="http://schemas.openxmlformats.org/officeDocument/2006/relationships/image" Target="../media/image50.jp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8.png"/><Relationship Id="rId13" Type="http://schemas.openxmlformats.org/officeDocument/2006/relationships/image" Target="../media/image63.png"/><Relationship Id="rId3" Type="http://schemas.openxmlformats.org/officeDocument/2006/relationships/image" Target="../media/image53.png"/><Relationship Id="rId7" Type="http://schemas.openxmlformats.org/officeDocument/2006/relationships/image" Target="../media/image57.png"/><Relationship Id="rId12" Type="http://schemas.openxmlformats.org/officeDocument/2006/relationships/image" Target="../media/image62.png"/><Relationship Id="rId2" Type="http://schemas.openxmlformats.org/officeDocument/2006/relationships/image" Target="../media/image52.png"/><Relationship Id="rId16" Type="http://schemas.openxmlformats.org/officeDocument/2006/relationships/image" Target="../media/image66.png"/><Relationship Id="rId1" Type="http://schemas.openxmlformats.org/officeDocument/2006/relationships/image" Target="../media/image51.png"/><Relationship Id="rId6" Type="http://schemas.openxmlformats.org/officeDocument/2006/relationships/image" Target="../media/image56.png"/><Relationship Id="rId11" Type="http://schemas.openxmlformats.org/officeDocument/2006/relationships/image" Target="../media/image61.png"/><Relationship Id="rId5" Type="http://schemas.openxmlformats.org/officeDocument/2006/relationships/image" Target="../media/image55.png"/><Relationship Id="rId15" Type="http://schemas.openxmlformats.org/officeDocument/2006/relationships/image" Target="../media/image65.png"/><Relationship Id="rId10" Type="http://schemas.openxmlformats.org/officeDocument/2006/relationships/image" Target="../media/image60.png"/><Relationship Id="rId4" Type="http://schemas.openxmlformats.org/officeDocument/2006/relationships/image" Target="../media/image54.png"/><Relationship Id="rId9" Type="http://schemas.openxmlformats.org/officeDocument/2006/relationships/image" Target="../media/image59.png"/><Relationship Id="rId14" Type="http://schemas.openxmlformats.org/officeDocument/2006/relationships/image" Target="../media/image6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13</xdr:row>
      <xdr:rowOff>161925</xdr:rowOff>
    </xdr:from>
    <xdr:to>
      <xdr:col>8</xdr:col>
      <xdr:colOff>200025</xdr:colOff>
      <xdr:row>33</xdr:row>
      <xdr:rowOff>66675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314575"/>
          <a:ext cx="3409950" cy="3190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1295400</xdr:colOff>
      <xdr:row>6</xdr:row>
      <xdr:rowOff>6350</xdr:rowOff>
    </xdr:from>
    <xdr:to>
      <xdr:col>4</xdr:col>
      <xdr:colOff>1447800</xdr:colOff>
      <xdr:row>6</xdr:row>
      <xdr:rowOff>158750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0250" y="154305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1301750</xdr:colOff>
      <xdr:row>21</xdr:row>
      <xdr:rowOff>12700</xdr:rowOff>
    </xdr:from>
    <xdr:to>
      <xdr:col>4</xdr:col>
      <xdr:colOff>1454150</xdr:colOff>
      <xdr:row>22</xdr:row>
      <xdr:rowOff>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" y="4025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40</xdr:row>
      <xdr:rowOff>11906</xdr:rowOff>
    </xdr:from>
    <xdr:to>
      <xdr:col>7</xdr:col>
      <xdr:colOff>205977</xdr:colOff>
      <xdr:row>40</xdr:row>
      <xdr:rowOff>159940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6994922"/>
          <a:ext cx="152400" cy="148034"/>
        </a:xfrm>
        <a:prstGeom prst="rect">
          <a:avLst/>
        </a:prstGeom>
      </xdr:spPr>
    </xdr:pic>
    <xdr:clientData/>
  </xdr:twoCellAnchor>
  <xdr:twoCellAnchor editAs="oneCell">
    <xdr:from>
      <xdr:col>7</xdr:col>
      <xdr:colOff>59531</xdr:colOff>
      <xdr:row>6</xdr:row>
      <xdr:rowOff>11906</xdr:rowOff>
    </xdr:from>
    <xdr:to>
      <xdr:col>7</xdr:col>
      <xdr:colOff>202408</xdr:colOff>
      <xdr:row>6</xdr:row>
      <xdr:rowOff>154783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7656" y="1529953"/>
          <a:ext cx="142877" cy="142877"/>
        </a:xfrm>
        <a:prstGeom prst="rect">
          <a:avLst/>
        </a:prstGeom>
      </xdr:spPr>
    </xdr:pic>
    <xdr:clientData/>
  </xdr:twoCellAnchor>
  <xdr:twoCellAnchor editAs="oneCell">
    <xdr:from>
      <xdr:col>7</xdr:col>
      <xdr:colOff>65484</xdr:colOff>
      <xdr:row>24</xdr:row>
      <xdr:rowOff>11906</xdr:rowOff>
    </xdr:from>
    <xdr:to>
      <xdr:col>7</xdr:col>
      <xdr:colOff>208361</xdr:colOff>
      <xdr:row>24</xdr:row>
      <xdr:rowOff>154783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609" y="4423172"/>
          <a:ext cx="142877" cy="142877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41</xdr:row>
      <xdr:rowOff>11907</xdr:rowOff>
    </xdr:from>
    <xdr:to>
      <xdr:col>4</xdr:col>
      <xdr:colOff>1452565</xdr:colOff>
      <xdr:row>41</xdr:row>
      <xdr:rowOff>154784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7155657"/>
          <a:ext cx="142877" cy="142877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7</xdr:row>
      <xdr:rowOff>5953</xdr:rowOff>
    </xdr:from>
    <xdr:to>
      <xdr:col>4</xdr:col>
      <xdr:colOff>1440656</xdr:colOff>
      <xdr:row>7</xdr:row>
      <xdr:rowOff>154781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16847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53578</xdr:colOff>
      <xdr:row>21</xdr:row>
      <xdr:rowOff>5953</xdr:rowOff>
    </xdr:from>
    <xdr:to>
      <xdr:col>7</xdr:col>
      <xdr:colOff>202406</xdr:colOff>
      <xdr:row>21</xdr:row>
      <xdr:rowOff>154781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3" y="393501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41</xdr:row>
      <xdr:rowOff>11906</xdr:rowOff>
    </xdr:from>
    <xdr:to>
      <xdr:col>7</xdr:col>
      <xdr:colOff>202405</xdr:colOff>
      <xdr:row>41</xdr:row>
      <xdr:rowOff>160734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715565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7</xdr:row>
      <xdr:rowOff>11906</xdr:rowOff>
    </xdr:from>
    <xdr:to>
      <xdr:col>7</xdr:col>
      <xdr:colOff>202405</xdr:colOff>
      <xdr:row>7</xdr:row>
      <xdr:rowOff>160734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169068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24</xdr:row>
      <xdr:rowOff>5953</xdr:rowOff>
    </xdr:from>
    <xdr:to>
      <xdr:col>4</xdr:col>
      <xdr:colOff>1452563</xdr:colOff>
      <xdr:row>24</xdr:row>
      <xdr:rowOff>154781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441721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40</xdr:row>
      <xdr:rowOff>5953</xdr:rowOff>
    </xdr:from>
    <xdr:to>
      <xdr:col>4</xdr:col>
      <xdr:colOff>1452563</xdr:colOff>
      <xdr:row>40</xdr:row>
      <xdr:rowOff>154781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441721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8</xdr:row>
      <xdr:rowOff>5953</xdr:rowOff>
    </xdr:from>
    <xdr:to>
      <xdr:col>4</xdr:col>
      <xdr:colOff>1452563</xdr:colOff>
      <xdr:row>9</xdr:row>
      <xdr:rowOff>1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1845469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25</xdr:row>
      <xdr:rowOff>5953</xdr:rowOff>
    </xdr:from>
    <xdr:to>
      <xdr:col>4</xdr:col>
      <xdr:colOff>1452563</xdr:colOff>
      <xdr:row>26</xdr:row>
      <xdr:rowOff>1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1845469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38</xdr:row>
      <xdr:rowOff>5953</xdr:rowOff>
    </xdr:from>
    <xdr:to>
      <xdr:col>7</xdr:col>
      <xdr:colOff>202406</xdr:colOff>
      <xdr:row>39</xdr:row>
      <xdr:rowOff>1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667500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53578</xdr:colOff>
      <xdr:row>8</xdr:row>
      <xdr:rowOff>11906</xdr:rowOff>
    </xdr:from>
    <xdr:to>
      <xdr:col>7</xdr:col>
      <xdr:colOff>202406</xdr:colOff>
      <xdr:row>9</xdr:row>
      <xdr:rowOff>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3" y="185142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53578</xdr:colOff>
      <xdr:row>23</xdr:row>
      <xdr:rowOff>11906</xdr:rowOff>
    </xdr:from>
    <xdr:to>
      <xdr:col>7</xdr:col>
      <xdr:colOff>202406</xdr:colOff>
      <xdr:row>23</xdr:row>
      <xdr:rowOff>160734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3" y="185142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1303707</xdr:colOff>
      <xdr:row>39</xdr:row>
      <xdr:rowOff>5953</xdr:rowOff>
    </xdr:from>
    <xdr:to>
      <xdr:col>4</xdr:col>
      <xdr:colOff>1452535</xdr:colOff>
      <xdr:row>39</xdr:row>
      <xdr:rowOff>154781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191" y="68282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9</xdr:row>
      <xdr:rowOff>5954</xdr:rowOff>
    </xdr:from>
    <xdr:to>
      <xdr:col>4</xdr:col>
      <xdr:colOff>1446610</xdr:colOff>
      <xdr:row>9</xdr:row>
      <xdr:rowOff>154782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200620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59530</xdr:colOff>
      <xdr:row>25</xdr:row>
      <xdr:rowOff>5953</xdr:rowOff>
    </xdr:from>
    <xdr:to>
      <xdr:col>7</xdr:col>
      <xdr:colOff>208358</xdr:colOff>
      <xdr:row>25</xdr:row>
      <xdr:rowOff>154781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7655" y="4577953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39</xdr:row>
      <xdr:rowOff>5953</xdr:rowOff>
    </xdr:from>
    <xdr:to>
      <xdr:col>7</xdr:col>
      <xdr:colOff>202405</xdr:colOff>
      <xdr:row>39</xdr:row>
      <xdr:rowOff>154781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68282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9</xdr:row>
      <xdr:rowOff>11906</xdr:rowOff>
    </xdr:from>
    <xdr:to>
      <xdr:col>7</xdr:col>
      <xdr:colOff>196452</xdr:colOff>
      <xdr:row>9</xdr:row>
      <xdr:rowOff>154781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2012156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23</xdr:row>
      <xdr:rowOff>11907</xdr:rowOff>
    </xdr:from>
    <xdr:to>
      <xdr:col>4</xdr:col>
      <xdr:colOff>1452563</xdr:colOff>
      <xdr:row>23</xdr:row>
      <xdr:rowOff>154782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4262438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1309687</xdr:colOff>
      <xdr:row>38</xdr:row>
      <xdr:rowOff>11907</xdr:rowOff>
    </xdr:from>
    <xdr:to>
      <xdr:col>4</xdr:col>
      <xdr:colOff>1452562</xdr:colOff>
      <xdr:row>38</xdr:row>
      <xdr:rowOff>154782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1" y="667345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10</xdr:row>
      <xdr:rowOff>5953</xdr:rowOff>
    </xdr:from>
    <xdr:to>
      <xdr:col>4</xdr:col>
      <xdr:colOff>1452562</xdr:colOff>
      <xdr:row>10</xdr:row>
      <xdr:rowOff>154781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216693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26</xdr:row>
      <xdr:rowOff>5953</xdr:rowOff>
    </xdr:from>
    <xdr:to>
      <xdr:col>4</xdr:col>
      <xdr:colOff>1452562</xdr:colOff>
      <xdr:row>26</xdr:row>
      <xdr:rowOff>154781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473868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44</xdr:row>
      <xdr:rowOff>5953</xdr:rowOff>
    </xdr:from>
    <xdr:to>
      <xdr:col>7</xdr:col>
      <xdr:colOff>196452</xdr:colOff>
      <xdr:row>44</xdr:row>
      <xdr:rowOff>154781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763190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10</xdr:row>
      <xdr:rowOff>5954</xdr:rowOff>
    </xdr:from>
    <xdr:to>
      <xdr:col>7</xdr:col>
      <xdr:colOff>196453</xdr:colOff>
      <xdr:row>10</xdr:row>
      <xdr:rowOff>154782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2166938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28</xdr:row>
      <xdr:rowOff>5953</xdr:rowOff>
    </xdr:from>
    <xdr:to>
      <xdr:col>7</xdr:col>
      <xdr:colOff>202405</xdr:colOff>
      <xdr:row>28</xdr:row>
      <xdr:rowOff>154781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506015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45</xdr:row>
      <xdr:rowOff>11907</xdr:rowOff>
    </xdr:from>
    <xdr:to>
      <xdr:col>4</xdr:col>
      <xdr:colOff>1452563</xdr:colOff>
      <xdr:row>46</xdr:row>
      <xdr:rowOff>1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7798595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11</xdr:row>
      <xdr:rowOff>5953</xdr:rowOff>
    </xdr:from>
    <xdr:to>
      <xdr:col>4</xdr:col>
      <xdr:colOff>1458515</xdr:colOff>
      <xdr:row>12</xdr:row>
      <xdr:rowOff>0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2327672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7</xdr:col>
      <xdr:colOff>59529</xdr:colOff>
      <xdr:row>26</xdr:row>
      <xdr:rowOff>11905</xdr:rowOff>
    </xdr:from>
    <xdr:to>
      <xdr:col>7</xdr:col>
      <xdr:colOff>208358</xdr:colOff>
      <xdr:row>26</xdr:row>
      <xdr:rowOff>160734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7654" y="4744639"/>
          <a:ext cx="148829" cy="148829"/>
        </a:xfrm>
        <a:prstGeom prst="rect">
          <a:avLst/>
        </a:prstGeom>
      </xdr:spPr>
    </xdr:pic>
    <xdr:clientData/>
  </xdr:twoCellAnchor>
  <xdr:twoCellAnchor editAs="oneCell">
    <xdr:from>
      <xdr:col>7</xdr:col>
      <xdr:colOff>47623</xdr:colOff>
      <xdr:row>45</xdr:row>
      <xdr:rowOff>11905</xdr:rowOff>
    </xdr:from>
    <xdr:to>
      <xdr:col>7</xdr:col>
      <xdr:colOff>196452</xdr:colOff>
      <xdr:row>46</xdr:row>
      <xdr:rowOff>0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8" y="7798593"/>
          <a:ext cx="148829" cy="148829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11</xdr:row>
      <xdr:rowOff>5952</xdr:rowOff>
    </xdr:from>
    <xdr:to>
      <xdr:col>7</xdr:col>
      <xdr:colOff>196452</xdr:colOff>
      <xdr:row>11</xdr:row>
      <xdr:rowOff>160733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2327671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28</xdr:row>
      <xdr:rowOff>5953</xdr:rowOff>
    </xdr:from>
    <xdr:to>
      <xdr:col>4</xdr:col>
      <xdr:colOff>1452563</xdr:colOff>
      <xdr:row>28</xdr:row>
      <xdr:rowOff>160734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5060156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44</xdr:row>
      <xdr:rowOff>5953</xdr:rowOff>
    </xdr:from>
    <xdr:to>
      <xdr:col>4</xdr:col>
      <xdr:colOff>1452562</xdr:colOff>
      <xdr:row>44</xdr:row>
      <xdr:rowOff>160734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7631906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12</xdr:row>
      <xdr:rowOff>5954</xdr:rowOff>
    </xdr:from>
    <xdr:to>
      <xdr:col>4</xdr:col>
      <xdr:colOff>1458516</xdr:colOff>
      <xdr:row>13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2488407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27</xdr:row>
      <xdr:rowOff>5953</xdr:rowOff>
    </xdr:from>
    <xdr:to>
      <xdr:col>4</xdr:col>
      <xdr:colOff>1452563</xdr:colOff>
      <xdr:row>28</xdr:row>
      <xdr:rowOff>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4899422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42</xdr:row>
      <xdr:rowOff>5953</xdr:rowOff>
    </xdr:from>
    <xdr:to>
      <xdr:col>7</xdr:col>
      <xdr:colOff>208358</xdr:colOff>
      <xdr:row>42</xdr:row>
      <xdr:rowOff>160734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7310437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12</xdr:row>
      <xdr:rowOff>11906</xdr:rowOff>
    </xdr:from>
    <xdr:to>
      <xdr:col>7</xdr:col>
      <xdr:colOff>190499</xdr:colOff>
      <xdr:row>12</xdr:row>
      <xdr:rowOff>160734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249435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29</xdr:row>
      <xdr:rowOff>5953</xdr:rowOff>
    </xdr:from>
    <xdr:to>
      <xdr:col>7</xdr:col>
      <xdr:colOff>202405</xdr:colOff>
      <xdr:row>29</xdr:row>
      <xdr:rowOff>154781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5220891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43</xdr:row>
      <xdr:rowOff>5953</xdr:rowOff>
    </xdr:from>
    <xdr:to>
      <xdr:col>4</xdr:col>
      <xdr:colOff>1446609</xdr:colOff>
      <xdr:row>43</xdr:row>
      <xdr:rowOff>154781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747117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1303733</xdr:colOff>
      <xdr:row>13</xdr:row>
      <xdr:rowOff>5952</xdr:rowOff>
    </xdr:from>
    <xdr:to>
      <xdr:col>4</xdr:col>
      <xdr:colOff>1452563</xdr:colOff>
      <xdr:row>13</xdr:row>
      <xdr:rowOff>154782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7" y="2649140"/>
          <a:ext cx="148830" cy="14883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27</xdr:row>
      <xdr:rowOff>5953</xdr:rowOff>
    </xdr:from>
    <xdr:to>
      <xdr:col>7</xdr:col>
      <xdr:colOff>196454</xdr:colOff>
      <xdr:row>27</xdr:row>
      <xdr:rowOff>154783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4899422"/>
          <a:ext cx="148830" cy="14883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43</xdr:row>
      <xdr:rowOff>5953</xdr:rowOff>
    </xdr:from>
    <xdr:to>
      <xdr:col>7</xdr:col>
      <xdr:colOff>196454</xdr:colOff>
      <xdr:row>43</xdr:row>
      <xdr:rowOff>154783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7471172"/>
          <a:ext cx="148830" cy="148830"/>
        </a:xfrm>
        <a:prstGeom prst="rect">
          <a:avLst/>
        </a:prstGeom>
      </xdr:spPr>
    </xdr:pic>
    <xdr:clientData/>
  </xdr:twoCellAnchor>
  <xdr:twoCellAnchor editAs="oneCell">
    <xdr:from>
      <xdr:col>7</xdr:col>
      <xdr:colOff>41672</xdr:colOff>
      <xdr:row>13</xdr:row>
      <xdr:rowOff>5953</xdr:rowOff>
    </xdr:from>
    <xdr:to>
      <xdr:col>7</xdr:col>
      <xdr:colOff>196454</xdr:colOff>
      <xdr:row>14</xdr:row>
      <xdr:rowOff>1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7" y="2649141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29</xdr:row>
      <xdr:rowOff>5954</xdr:rowOff>
    </xdr:from>
    <xdr:to>
      <xdr:col>4</xdr:col>
      <xdr:colOff>1452563</xdr:colOff>
      <xdr:row>30</xdr:row>
      <xdr:rowOff>2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5220892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42</xdr:row>
      <xdr:rowOff>5953</xdr:rowOff>
    </xdr:from>
    <xdr:to>
      <xdr:col>4</xdr:col>
      <xdr:colOff>1452563</xdr:colOff>
      <xdr:row>43</xdr:row>
      <xdr:rowOff>0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7310437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1303736</xdr:colOff>
      <xdr:row>14</xdr:row>
      <xdr:rowOff>5955</xdr:rowOff>
    </xdr:from>
    <xdr:to>
      <xdr:col>4</xdr:col>
      <xdr:colOff>1458516</xdr:colOff>
      <xdr:row>15</xdr:row>
      <xdr:rowOff>1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20" y="2809877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30</xdr:row>
      <xdr:rowOff>5953</xdr:rowOff>
    </xdr:from>
    <xdr:to>
      <xdr:col>4</xdr:col>
      <xdr:colOff>1452561</xdr:colOff>
      <xdr:row>30</xdr:row>
      <xdr:rowOff>160733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5381625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48</xdr:row>
      <xdr:rowOff>5953</xdr:rowOff>
    </xdr:from>
    <xdr:to>
      <xdr:col>7</xdr:col>
      <xdr:colOff>202404</xdr:colOff>
      <xdr:row>48</xdr:row>
      <xdr:rowOff>160733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274844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14</xdr:row>
      <xdr:rowOff>11907</xdr:rowOff>
    </xdr:from>
    <xdr:to>
      <xdr:col>7</xdr:col>
      <xdr:colOff>190501</xdr:colOff>
      <xdr:row>14</xdr:row>
      <xdr:rowOff>154783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2815829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31</xdr:row>
      <xdr:rowOff>11906</xdr:rowOff>
    </xdr:from>
    <xdr:to>
      <xdr:col>7</xdr:col>
      <xdr:colOff>190500</xdr:colOff>
      <xdr:row>31</xdr:row>
      <xdr:rowOff>154782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5548312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49</xdr:row>
      <xdr:rowOff>11907</xdr:rowOff>
    </xdr:from>
    <xdr:to>
      <xdr:col>4</xdr:col>
      <xdr:colOff>1452564</xdr:colOff>
      <xdr:row>49</xdr:row>
      <xdr:rowOff>154783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8441532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15</xdr:row>
      <xdr:rowOff>11907</xdr:rowOff>
    </xdr:from>
    <xdr:to>
      <xdr:col>4</xdr:col>
      <xdr:colOff>1446611</xdr:colOff>
      <xdr:row>15</xdr:row>
      <xdr:rowOff>154783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2976563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30</xdr:row>
      <xdr:rowOff>11906</xdr:rowOff>
    </xdr:from>
    <xdr:to>
      <xdr:col>7</xdr:col>
      <xdr:colOff>196453</xdr:colOff>
      <xdr:row>30</xdr:row>
      <xdr:rowOff>154782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5387578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49</xdr:row>
      <xdr:rowOff>11906</xdr:rowOff>
    </xdr:from>
    <xdr:to>
      <xdr:col>7</xdr:col>
      <xdr:colOff>190500</xdr:colOff>
      <xdr:row>49</xdr:row>
      <xdr:rowOff>154782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441531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41672</xdr:colOff>
      <xdr:row>15</xdr:row>
      <xdr:rowOff>5954</xdr:rowOff>
    </xdr:from>
    <xdr:to>
      <xdr:col>7</xdr:col>
      <xdr:colOff>190500</xdr:colOff>
      <xdr:row>15</xdr:row>
      <xdr:rowOff>154782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7" y="2970610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31</xdr:row>
      <xdr:rowOff>11906</xdr:rowOff>
    </xdr:from>
    <xdr:to>
      <xdr:col>4</xdr:col>
      <xdr:colOff>1446609</xdr:colOff>
      <xdr:row>31</xdr:row>
      <xdr:rowOff>160734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554831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48</xdr:row>
      <xdr:rowOff>5953</xdr:rowOff>
    </xdr:from>
    <xdr:to>
      <xdr:col>4</xdr:col>
      <xdr:colOff>1452563</xdr:colOff>
      <xdr:row>48</xdr:row>
      <xdr:rowOff>154781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827484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16</xdr:row>
      <xdr:rowOff>5952</xdr:rowOff>
    </xdr:from>
    <xdr:to>
      <xdr:col>4</xdr:col>
      <xdr:colOff>1446610</xdr:colOff>
      <xdr:row>17</xdr:row>
      <xdr:rowOff>0</xdr:rowOff>
    </xdr:to>
    <xdr:pic>
      <xdr:nvPicPr>
        <xdr:cNvPr id="23808" name="Picture 23807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3131343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32</xdr:row>
      <xdr:rowOff>5953</xdr:rowOff>
    </xdr:from>
    <xdr:to>
      <xdr:col>4</xdr:col>
      <xdr:colOff>1446610</xdr:colOff>
      <xdr:row>33</xdr:row>
      <xdr:rowOff>1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5703094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46</xdr:row>
      <xdr:rowOff>5953</xdr:rowOff>
    </xdr:from>
    <xdr:to>
      <xdr:col>7</xdr:col>
      <xdr:colOff>196453</xdr:colOff>
      <xdr:row>47</xdr:row>
      <xdr:rowOff>1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7953375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41673</xdr:colOff>
      <xdr:row>16</xdr:row>
      <xdr:rowOff>5954</xdr:rowOff>
    </xdr:from>
    <xdr:to>
      <xdr:col>7</xdr:col>
      <xdr:colOff>196453</xdr:colOff>
      <xdr:row>17</xdr:row>
      <xdr:rowOff>0</xdr:rowOff>
    </xdr:to>
    <xdr:pic>
      <xdr:nvPicPr>
        <xdr:cNvPr id="23809" name="Picture 23808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8" y="3131345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34</xdr:row>
      <xdr:rowOff>5953</xdr:rowOff>
    </xdr:from>
    <xdr:to>
      <xdr:col>7</xdr:col>
      <xdr:colOff>196451</xdr:colOff>
      <xdr:row>34</xdr:row>
      <xdr:rowOff>160733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6024562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47</xdr:row>
      <xdr:rowOff>5953</xdr:rowOff>
    </xdr:from>
    <xdr:to>
      <xdr:col>4</xdr:col>
      <xdr:colOff>1458514</xdr:colOff>
      <xdr:row>47</xdr:row>
      <xdr:rowOff>160733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8114109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17</xdr:row>
      <xdr:rowOff>11906</xdr:rowOff>
    </xdr:from>
    <xdr:to>
      <xdr:col>4</xdr:col>
      <xdr:colOff>1440656</xdr:colOff>
      <xdr:row>17</xdr:row>
      <xdr:rowOff>160734</xdr:rowOff>
    </xdr:to>
    <xdr:pic>
      <xdr:nvPicPr>
        <xdr:cNvPr id="23810" name="Picture 23809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3298031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33</xdr:row>
      <xdr:rowOff>11906</xdr:rowOff>
    </xdr:from>
    <xdr:to>
      <xdr:col>4</xdr:col>
      <xdr:colOff>1446610</xdr:colOff>
      <xdr:row>33</xdr:row>
      <xdr:rowOff>160734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5869781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50</xdr:row>
      <xdr:rowOff>5953</xdr:rowOff>
    </xdr:from>
    <xdr:to>
      <xdr:col>7</xdr:col>
      <xdr:colOff>196452</xdr:colOff>
      <xdr:row>50</xdr:row>
      <xdr:rowOff>154781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59631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17</xdr:row>
      <xdr:rowOff>11906</xdr:rowOff>
    </xdr:from>
    <xdr:to>
      <xdr:col>7</xdr:col>
      <xdr:colOff>190499</xdr:colOff>
      <xdr:row>17</xdr:row>
      <xdr:rowOff>154781</xdr:rowOff>
    </xdr:to>
    <xdr:pic>
      <xdr:nvPicPr>
        <xdr:cNvPr id="23811" name="Picture 23810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3298031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36</xdr:row>
      <xdr:rowOff>11906</xdr:rowOff>
    </xdr:from>
    <xdr:to>
      <xdr:col>7</xdr:col>
      <xdr:colOff>190499</xdr:colOff>
      <xdr:row>36</xdr:row>
      <xdr:rowOff>154781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35198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51</xdr:row>
      <xdr:rowOff>11906</xdr:rowOff>
    </xdr:from>
    <xdr:to>
      <xdr:col>4</xdr:col>
      <xdr:colOff>1446609</xdr:colOff>
      <xdr:row>51</xdr:row>
      <xdr:rowOff>154781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876300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18</xdr:row>
      <xdr:rowOff>11906</xdr:rowOff>
    </xdr:from>
    <xdr:to>
      <xdr:col>4</xdr:col>
      <xdr:colOff>1440656</xdr:colOff>
      <xdr:row>18</xdr:row>
      <xdr:rowOff>154781</xdr:rowOff>
    </xdr:to>
    <xdr:pic>
      <xdr:nvPicPr>
        <xdr:cNvPr id="23812" name="Picture 23811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345876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32</xdr:row>
      <xdr:rowOff>11906</xdr:rowOff>
    </xdr:from>
    <xdr:to>
      <xdr:col>7</xdr:col>
      <xdr:colOff>184546</xdr:colOff>
      <xdr:row>32</xdr:row>
      <xdr:rowOff>154781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5709047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47</xdr:row>
      <xdr:rowOff>11906</xdr:rowOff>
    </xdr:from>
    <xdr:to>
      <xdr:col>7</xdr:col>
      <xdr:colOff>190499</xdr:colOff>
      <xdr:row>47</xdr:row>
      <xdr:rowOff>154781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120062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47626</xdr:colOff>
      <xdr:row>18</xdr:row>
      <xdr:rowOff>11907</xdr:rowOff>
    </xdr:from>
    <xdr:to>
      <xdr:col>7</xdr:col>
      <xdr:colOff>196454</xdr:colOff>
      <xdr:row>19</xdr:row>
      <xdr:rowOff>0</xdr:rowOff>
    </xdr:to>
    <xdr:pic>
      <xdr:nvPicPr>
        <xdr:cNvPr id="23813" name="Picture 23812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1" y="345876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34</xdr:row>
      <xdr:rowOff>11907</xdr:rowOff>
    </xdr:from>
    <xdr:to>
      <xdr:col>4</xdr:col>
      <xdr:colOff>1452563</xdr:colOff>
      <xdr:row>35</xdr:row>
      <xdr:rowOff>0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603051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46</xdr:row>
      <xdr:rowOff>11907</xdr:rowOff>
    </xdr:from>
    <xdr:to>
      <xdr:col>4</xdr:col>
      <xdr:colOff>1458516</xdr:colOff>
      <xdr:row>47</xdr:row>
      <xdr:rowOff>1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795932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19</xdr:row>
      <xdr:rowOff>11907</xdr:rowOff>
    </xdr:from>
    <xdr:to>
      <xdr:col>4</xdr:col>
      <xdr:colOff>1440656</xdr:colOff>
      <xdr:row>19</xdr:row>
      <xdr:rowOff>154782</xdr:rowOff>
    </xdr:to>
    <xdr:pic>
      <xdr:nvPicPr>
        <xdr:cNvPr id="23814" name="Picture 23813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3619501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33</xdr:row>
      <xdr:rowOff>11906</xdr:rowOff>
    </xdr:from>
    <xdr:to>
      <xdr:col>7</xdr:col>
      <xdr:colOff>190499</xdr:colOff>
      <xdr:row>33</xdr:row>
      <xdr:rowOff>154781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5869781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51</xdr:row>
      <xdr:rowOff>11906</xdr:rowOff>
    </xdr:from>
    <xdr:to>
      <xdr:col>7</xdr:col>
      <xdr:colOff>190499</xdr:colOff>
      <xdr:row>51</xdr:row>
      <xdr:rowOff>154781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76300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19</xdr:row>
      <xdr:rowOff>11906</xdr:rowOff>
    </xdr:from>
    <xdr:to>
      <xdr:col>7</xdr:col>
      <xdr:colOff>184546</xdr:colOff>
      <xdr:row>19</xdr:row>
      <xdr:rowOff>154781</xdr:rowOff>
    </xdr:to>
    <xdr:pic>
      <xdr:nvPicPr>
        <xdr:cNvPr id="23815" name="Picture 23814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361950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36</xdr:row>
      <xdr:rowOff>11907</xdr:rowOff>
    </xdr:from>
    <xdr:to>
      <xdr:col>4</xdr:col>
      <xdr:colOff>1446610</xdr:colOff>
      <xdr:row>36</xdr:row>
      <xdr:rowOff>154782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635198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50</xdr:row>
      <xdr:rowOff>11906</xdr:rowOff>
    </xdr:from>
    <xdr:to>
      <xdr:col>4</xdr:col>
      <xdr:colOff>1446609</xdr:colOff>
      <xdr:row>50</xdr:row>
      <xdr:rowOff>154781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860226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20</xdr:row>
      <xdr:rowOff>17860</xdr:rowOff>
    </xdr:from>
    <xdr:to>
      <xdr:col>4</xdr:col>
      <xdr:colOff>1440656</xdr:colOff>
      <xdr:row>21</xdr:row>
      <xdr:rowOff>0</xdr:rowOff>
    </xdr:to>
    <xdr:pic>
      <xdr:nvPicPr>
        <xdr:cNvPr id="23816" name="Picture 23815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3786188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37</xdr:row>
      <xdr:rowOff>17859</xdr:rowOff>
    </xdr:from>
    <xdr:to>
      <xdr:col>4</xdr:col>
      <xdr:colOff>1446609</xdr:colOff>
      <xdr:row>38</xdr:row>
      <xdr:rowOff>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6518672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52</xdr:row>
      <xdr:rowOff>11906</xdr:rowOff>
    </xdr:from>
    <xdr:to>
      <xdr:col>7</xdr:col>
      <xdr:colOff>184546</xdr:colOff>
      <xdr:row>52</xdr:row>
      <xdr:rowOff>154781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892373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20</xdr:row>
      <xdr:rowOff>11906</xdr:rowOff>
    </xdr:from>
    <xdr:to>
      <xdr:col>7</xdr:col>
      <xdr:colOff>196452</xdr:colOff>
      <xdr:row>20</xdr:row>
      <xdr:rowOff>160734</xdr:rowOff>
    </xdr:to>
    <xdr:pic>
      <xdr:nvPicPr>
        <xdr:cNvPr id="23817" name="Picture 23816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37802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35</xdr:row>
      <xdr:rowOff>5953</xdr:rowOff>
    </xdr:from>
    <xdr:to>
      <xdr:col>7</xdr:col>
      <xdr:colOff>196452</xdr:colOff>
      <xdr:row>35</xdr:row>
      <xdr:rowOff>154781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18529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53</xdr:row>
      <xdr:rowOff>11906</xdr:rowOff>
    </xdr:from>
    <xdr:to>
      <xdr:col>4</xdr:col>
      <xdr:colOff>1458516</xdr:colOff>
      <xdr:row>54</xdr:row>
      <xdr:rowOff>0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908446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1309687</xdr:colOff>
      <xdr:row>22</xdr:row>
      <xdr:rowOff>11907</xdr:rowOff>
    </xdr:from>
    <xdr:to>
      <xdr:col>4</xdr:col>
      <xdr:colOff>1452562</xdr:colOff>
      <xdr:row>22</xdr:row>
      <xdr:rowOff>154782</xdr:rowOff>
    </xdr:to>
    <xdr:pic>
      <xdr:nvPicPr>
        <xdr:cNvPr id="23818" name="Picture 23817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1" y="410170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37</xdr:row>
      <xdr:rowOff>11906</xdr:rowOff>
    </xdr:from>
    <xdr:to>
      <xdr:col>7</xdr:col>
      <xdr:colOff>190499</xdr:colOff>
      <xdr:row>37</xdr:row>
      <xdr:rowOff>154781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512719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53</xdr:row>
      <xdr:rowOff>11906</xdr:rowOff>
    </xdr:from>
    <xdr:to>
      <xdr:col>7</xdr:col>
      <xdr:colOff>184546</xdr:colOff>
      <xdr:row>53</xdr:row>
      <xdr:rowOff>154781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9084469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22</xdr:row>
      <xdr:rowOff>11906</xdr:rowOff>
    </xdr:from>
    <xdr:to>
      <xdr:col>7</xdr:col>
      <xdr:colOff>190499</xdr:colOff>
      <xdr:row>22</xdr:row>
      <xdr:rowOff>154781</xdr:rowOff>
    </xdr:to>
    <xdr:pic>
      <xdr:nvPicPr>
        <xdr:cNvPr id="23819" name="Picture 23818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4101703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35</xdr:row>
      <xdr:rowOff>11906</xdr:rowOff>
    </xdr:from>
    <xdr:to>
      <xdr:col>4</xdr:col>
      <xdr:colOff>1446609</xdr:colOff>
      <xdr:row>35</xdr:row>
      <xdr:rowOff>154781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619125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1309687</xdr:colOff>
      <xdr:row>52</xdr:row>
      <xdr:rowOff>11907</xdr:rowOff>
    </xdr:from>
    <xdr:to>
      <xdr:col>4</xdr:col>
      <xdr:colOff>1452562</xdr:colOff>
      <xdr:row>52</xdr:row>
      <xdr:rowOff>154782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1" y="892373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</xdr:colOff>
      <xdr:row>68</xdr:row>
      <xdr:rowOff>38100</xdr:rowOff>
    </xdr:from>
    <xdr:to>
      <xdr:col>18</xdr:col>
      <xdr:colOff>377705</xdr:colOff>
      <xdr:row>86</xdr:row>
      <xdr:rowOff>104775</xdr:rowOff>
    </xdr:to>
    <xdr:pic>
      <xdr:nvPicPr>
        <xdr:cNvPr id="23821" name="Picture 23820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0" y="11620500"/>
          <a:ext cx="3216155" cy="2981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18</xdr:row>
      <xdr:rowOff>28575</xdr:rowOff>
    </xdr:from>
    <xdr:to>
      <xdr:col>2</xdr:col>
      <xdr:colOff>3175</xdr:colOff>
      <xdr:row>19</xdr:row>
      <xdr:rowOff>0</xdr:rowOff>
    </xdr:to>
    <xdr:pic>
      <xdr:nvPicPr>
        <xdr:cNvPr id="2" name="Рисунок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92417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</xdr:row>
      <xdr:rowOff>19050</xdr:rowOff>
    </xdr:from>
    <xdr:to>
      <xdr:col>2</xdr:col>
      <xdr:colOff>3175</xdr:colOff>
      <xdr:row>2</xdr:row>
      <xdr:rowOff>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619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10</xdr:row>
      <xdr:rowOff>19050</xdr:rowOff>
    </xdr:from>
    <xdr:to>
      <xdr:col>2</xdr:col>
      <xdr:colOff>3175</xdr:colOff>
      <xdr:row>11</xdr:row>
      <xdr:rowOff>0</xdr:rowOff>
    </xdr:to>
    <xdr:pic>
      <xdr:nvPicPr>
        <xdr:cNvPr id="4" name="Рисунок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619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9</xdr:row>
      <xdr:rowOff>19050</xdr:rowOff>
    </xdr:from>
    <xdr:to>
      <xdr:col>2</xdr:col>
      <xdr:colOff>3175</xdr:colOff>
      <xdr:row>10</xdr:row>
      <xdr:rowOff>0</xdr:rowOff>
    </xdr:to>
    <xdr:pic>
      <xdr:nvPicPr>
        <xdr:cNvPr id="5" name="Рисунок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4573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17</xdr:row>
      <xdr:rowOff>19050</xdr:rowOff>
    </xdr:from>
    <xdr:to>
      <xdr:col>2</xdr:col>
      <xdr:colOff>3175</xdr:colOff>
      <xdr:row>18</xdr:row>
      <xdr:rowOff>0</xdr:rowOff>
    </xdr:to>
    <xdr:pic>
      <xdr:nvPicPr>
        <xdr:cNvPr id="6" name="Рисунок 1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752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</xdr:row>
      <xdr:rowOff>28575</xdr:rowOff>
    </xdr:from>
    <xdr:to>
      <xdr:col>2</xdr:col>
      <xdr:colOff>3175</xdr:colOff>
      <xdr:row>3</xdr:row>
      <xdr:rowOff>0</xdr:rowOff>
    </xdr:to>
    <xdr:pic>
      <xdr:nvPicPr>
        <xdr:cNvPr id="7" name="Рисунок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3337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</xdr:row>
      <xdr:rowOff>19050</xdr:rowOff>
    </xdr:from>
    <xdr:to>
      <xdr:col>2</xdr:col>
      <xdr:colOff>3175</xdr:colOff>
      <xdr:row>4</xdr:row>
      <xdr:rowOff>0</xdr:rowOff>
    </xdr:to>
    <xdr:pic>
      <xdr:nvPicPr>
        <xdr:cNvPr id="8" name="Рисунок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4857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12</xdr:row>
      <xdr:rowOff>19050</xdr:rowOff>
    </xdr:from>
    <xdr:to>
      <xdr:col>2</xdr:col>
      <xdr:colOff>3175</xdr:colOff>
      <xdr:row>13</xdr:row>
      <xdr:rowOff>0</xdr:rowOff>
    </xdr:to>
    <xdr:pic>
      <xdr:nvPicPr>
        <xdr:cNvPr id="9" name="Рисунок 1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9431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20</xdr:row>
      <xdr:rowOff>28575</xdr:rowOff>
    </xdr:from>
    <xdr:to>
      <xdr:col>2</xdr:col>
      <xdr:colOff>3175</xdr:colOff>
      <xdr:row>21</xdr:row>
      <xdr:rowOff>0</xdr:rowOff>
    </xdr:to>
    <xdr:pic>
      <xdr:nvPicPr>
        <xdr:cNvPr id="10" name="Рисунок 2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24802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11</xdr:row>
      <xdr:rowOff>19050</xdr:rowOff>
    </xdr:from>
    <xdr:to>
      <xdr:col>2</xdr:col>
      <xdr:colOff>3175</xdr:colOff>
      <xdr:row>12</xdr:row>
      <xdr:rowOff>0</xdr:rowOff>
    </xdr:to>
    <xdr:pic>
      <xdr:nvPicPr>
        <xdr:cNvPr id="11" name="Рисунок 2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7811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</xdr:row>
      <xdr:rowOff>19050</xdr:rowOff>
    </xdr:from>
    <xdr:to>
      <xdr:col>2</xdr:col>
      <xdr:colOff>3175</xdr:colOff>
      <xdr:row>5</xdr:row>
      <xdr:rowOff>0</xdr:rowOff>
    </xdr:to>
    <xdr:pic>
      <xdr:nvPicPr>
        <xdr:cNvPr id="12" name="Рисунок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6477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19</xdr:row>
      <xdr:rowOff>28575</xdr:rowOff>
    </xdr:from>
    <xdr:to>
      <xdr:col>2</xdr:col>
      <xdr:colOff>3175</xdr:colOff>
      <xdr:row>20</xdr:row>
      <xdr:rowOff>0</xdr:rowOff>
    </xdr:to>
    <xdr:pic>
      <xdr:nvPicPr>
        <xdr:cNvPr id="13" name="Рисунок 3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086100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5</xdr:row>
      <xdr:rowOff>28575</xdr:rowOff>
    </xdr:from>
    <xdr:to>
      <xdr:col>2</xdr:col>
      <xdr:colOff>3175</xdr:colOff>
      <xdr:row>6</xdr:row>
      <xdr:rowOff>0</xdr:rowOff>
    </xdr:to>
    <xdr:pic>
      <xdr:nvPicPr>
        <xdr:cNvPr id="14" name="Рисунок 2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819150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14</xdr:row>
      <xdr:rowOff>28575</xdr:rowOff>
    </xdr:from>
    <xdr:to>
      <xdr:col>2</xdr:col>
      <xdr:colOff>3175</xdr:colOff>
      <xdr:row>15</xdr:row>
      <xdr:rowOff>0</xdr:rowOff>
    </xdr:to>
    <xdr:pic>
      <xdr:nvPicPr>
        <xdr:cNvPr id="15" name="Рисунок 3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27647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13</xdr:row>
      <xdr:rowOff>19050</xdr:rowOff>
    </xdr:from>
    <xdr:to>
      <xdr:col>2</xdr:col>
      <xdr:colOff>3175</xdr:colOff>
      <xdr:row>14</xdr:row>
      <xdr:rowOff>0</xdr:rowOff>
    </xdr:to>
    <xdr:pic>
      <xdr:nvPicPr>
        <xdr:cNvPr id="16" name="Рисунок 3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1050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22</xdr:row>
      <xdr:rowOff>19050</xdr:rowOff>
    </xdr:from>
    <xdr:to>
      <xdr:col>2</xdr:col>
      <xdr:colOff>3175</xdr:colOff>
      <xdr:row>23</xdr:row>
      <xdr:rowOff>0</xdr:rowOff>
    </xdr:to>
    <xdr:pic>
      <xdr:nvPicPr>
        <xdr:cNvPr id="17" name="Рисунок 36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5623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6</xdr:row>
      <xdr:rowOff>19050</xdr:rowOff>
    </xdr:from>
    <xdr:to>
      <xdr:col>2</xdr:col>
      <xdr:colOff>3175</xdr:colOff>
      <xdr:row>7</xdr:row>
      <xdr:rowOff>0</xdr:rowOff>
    </xdr:to>
    <xdr:pic>
      <xdr:nvPicPr>
        <xdr:cNvPr id="18" name="Рисунок 2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9715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21</xdr:row>
      <xdr:rowOff>28575</xdr:rowOff>
    </xdr:from>
    <xdr:to>
      <xdr:col>2</xdr:col>
      <xdr:colOff>3175</xdr:colOff>
      <xdr:row>22</xdr:row>
      <xdr:rowOff>0</xdr:rowOff>
    </xdr:to>
    <xdr:pic>
      <xdr:nvPicPr>
        <xdr:cNvPr id="19" name="Рисунок 42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409950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7</xdr:row>
      <xdr:rowOff>19050</xdr:rowOff>
    </xdr:from>
    <xdr:to>
      <xdr:col>2</xdr:col>
      <xdr:colOff>3175</xdr:colOff>
      <xdr:row>8</xdr:row>
      <xdr:rowOff>0</xdr:rowOff>
    </xdr:to>
    <xdr:pic>
      <xdr:nvPicPr>
        <xdr:cNvPr id="20" name="Рисунок 34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1334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24</xdr:row>
      <xdr:rowOff>19050</xdr:rowOff>
    </xdr:from>
    <xdr:to>
      <xdr:col>2</xdr:col>
      <xdr:colOff>3175</xdr:colOff>
      <xdr:row>25</xdr:row>
      <xdr:rowOff>0</xdr:rowOff>
    </xdr:to>
    <xdr:pic>
      <xdr:nvPicPr>
        <xdr:cNvPr id="2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8862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8</xdr:row>
      <xdr:rowOff>19050</xdr:rowOff>
    </xdr:from>
    <xdr:to>
      <xdr:col>2</xdr:col>
      <xdr:colOff>3175</xdr:colOff>
      <xdr:row>9</xdr:row>
      <xdr:rowOff>0</xdr:rowOff>
    </xdr:to>
    <xdr:pic>
      <xdr:nvPicPr>
        <xdr:cNvPr id="22" name="Рисунок 4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2954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15</xdr:row>
      <xdr:rowOff>19050</xdr:rowOff>
    </xdr:from>
    <xdr:to>
      <xdr:col>2</xdr:col>
      <xdr:colOff>3175</xdr:colOff>
      <xdr:row>16</xdr:row>
      <xdr:rowOff>0</xdr:rowOff>
    </xdr:to>
    <xdr:pic>
      <xdr:nvPicPr>
        <xdr:cNvPr id="23" name="Рисунок 5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4288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16</xdr:row>
      <xdr:rowOff>19050</xdr:rowOff>
    </xdr:from>
    <xdr:to>
      <xdr:col>2</xdr:col>
      <xdr:colOff>3175</xdr:colOff>
      <xdr:row>17</xdr:row>
      <xdr:rowOff>0</xdr:rowOff>
    </xdr:to>
    <xdr:pic>
      <xdr:nvPicPr>
        <xdr:cNvPr id="24" name="Рисунок 53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5908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23</xdr:row>
      <xdr:rowOff>19050</xdr:rowOff>
    </xdr:from>
    <xdr:to>
      <xdr:col>2</xdr:col>
      <xdr:colOff>3175</xdr:colOff>
      <xdr:row>24</xdr:row>
      <xdr:rowOff>0</xdr:rowOff>
    </xdr:to>
    <xdr:pic>
      <xdr:nvPicPr>
        <xdr:cNvPr id="25" name="Рисунок 54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7242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25</xdr:row>
      <xdr:rowOff>19050</xdr:rowOff>
    </xdr:from>
    <xdr:to>
      <xdr:col>2</xdr:col>
      <xdr:colOff>3175</xdr:colOff>
      <xdr:row>26</xdr:row>
      <xdr:rowOff>0</xdr:rowOff>
    </xdr:to>
    <xdr:pic>
      <xdr:nvPicPr>
        <xdr:cNvPr id="218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26</xdr:row>
      <xdr:rowOff>19050</xdr:rowOff>
    </xdr:from>
    <xdr:to>
      <xdr:col>2</xdr:col>
      <xdr:colOff>3175</xdr:colOff>
      <xdr:row>27</xdr:row>
      <xdr:rowOff>0</xdr:rowOff>
    </xdr:to>
    <xdr:pic>
      <xdr:nvPicPr>
        <xdr:cNvPr id="219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27</xdr:row>
      <xdr:rowOff>19050</xdr:rowOff>
    </xdr:from>
    <xdr:to>
      <xdr:col>2</xdr:col>
      <xdr:colOff>3175</xdr:colOff>
      <xdr:row>28</xdr:row>
      <xdr:rowOff>0</xdr:rowOff>
    </xdr:to>
    <xdr:pic>
      <xdr:nvPicPr>
        <xdr:cNvPr id="220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28</xdr:row>
      <xdr:rowOff>19050</xdr:rowOff>
    </xdr:from>
    <xdr:to>
      <xdr:col>2</xdr:col>
      <xdr:colOff>3175</xdr:colOff>
      <xdr:row>29</xdr:row>
      <xdr:rowOff>0</xdr:rowOff>
    </xdr:to>
    <xdr:pic>
      <xdr:nvPicPr>
        <xdr:cNvPr id="22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29</xdr:row>
      <xdr:rowOff>19050</xdr:rowOff>
    </xdr:from>
    <xdr:to>
      <xdr:col>2</xdr:col>
      <xdr:colOff>3175</xdr:colOff>
      <xdr:row>30</xdr:row>
      <xdr:rowOff>0</xdr:rowOff>
    </xdr:to>
    <xdr:pic>
      <xdr:nvPicPr>
        <xdr:cNvPr id="222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30</xdr:row>
      <xdr:rowOff>19050</xdr:rowOff>
    </xdr:from>
    <xdr:to>
      <xdr:col>2</xdr:col>
      <xdr:colOff>3175</xdr:colOff>
      <xdr:row>31</xdr:row>
      <xdr:rowOff>0</xdr:rowOff>
    </xdr:to>
    <xdr:pic>
      <xdr:nvPicPr>
        <xdr:cNvPr id="223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31</xdr:row>
      <xdr:rowOff>19050</xdr:rowOff>
    </xdr:from>
    <xdr:to>
      <xdr:col>2</xdr:col>
      <xdr:colOff>3175</xdr:colOff>
      <xdr:row>32</xdr:row>
      <xdr:rowOff>0</xdr:rowOff>
    </xdr:to>
    <xdr:pic>
      <xdr:nvPicPr>
        <xdr:cNvPr id="224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32</xdr:row>
      <xdr:rowOff>19050</xdr:rowOff>
    </xdr:from>
    <xdr:to>
      <xdr:col>2</xdr:col>
      <xdr:colOff>3175</xdr:colOff>
      <xdr:row>33</xdr:row>
      <xdr:rowOff>0</xdr:rowOff>
    </xdr:to>
    <xdr:pic>
      <xdr:nvPicPr>
        <xdr:cNvPr id="225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33</xdr:row>
      <xdr:rowOff>19050</xdr:rowOff>
    </xdr:from>
    <xdr:to>
      <xdr:col>2</xdr:col>
      <xdr:colOff>3175</xdr:colOff>
      <xdr:row>34</xdr:row>
      <xdr:rowOff>0</xdr:rowOff>
    </xdr:to>
    <xdr:pic>
      <xdr:nvPicPr>
        <xdr:cNvPr id="226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34</xdr:row>
      <xdr:rowOff>19050</xdr:rowOff>
    </xdr:from>
    <xdr:to>
      <xdr:col>2</xdr:col>
      <xdr:colOff>3175</xdr:colOff>
      <xdr:row>35</xdr:row>
      <xdr:rowOff>0</xdr:rowOff>
    </xdr:to>
    <xdr:pic>
      <xdr:nvPicPr>
        <xdr:cNvPr id="227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35</xdr:row>
      <xdr:rowOff>19050</xdr:rowOff>
    </xdr:from>
    <xdr:to>
      <xdr:col>2</xdr:col>
      <xdr:colOff>3175</xdr:colOff>
      <xdr:row>36</xdr:row>
      <xdr:rowOff>0</xdr:rowOff>
    </xdr:to>
    <xdr:pic>
      <xdr:nvPicPr>
        <xdr:cNvPr id="228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36</xdr:row>
      <xdr:rowOff>19050</xdr:rowOff>
    </xdr:from>
    <xdr:to>
      <xdr:col>2</xdr:col>
      <xdr:colOff>3175</xdr:colOff>
      <xdr:row>37</xdr:row>
      <xdr:rowOff>0</xdr:rowOff>
    </xdr:to>
    <xdr:pic>
      <xdr:nvPicPr>
        <xdr:cNvPr id="229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37</xdr:row>
      <xdr:rowOff>19050</xdr:rowOff>
    </xdr:from>
    <xdr:to>
      <xdr:col>2</xdr:col>
      <xdr:colOff>3175</xdr:colOff>
      <xdr:row>38</xdr:row>
      <xdr:rowOff>0</xdr:rowOff>
    </xdr:to>
    <xdr:pic>
      <xdr:nvPicPr>
        <xdr:cNvPr id="230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38</xdr:row>
      <xdr:rowOff>19050</xdr:rowOff>
    </xdr:from>
    <xdr:to>
      <xdr:col>2</xdr:col>
      <xdr:colOff>3175</xdr:colOff>
      <xdr:row>39</xdr:row>
      <xdr:rowOff>0</xdr:rowOff>
    </xdr:to>
    <xdr:pic>
      <xdr:nvPicPr>
        <xdr:cNvPr id="23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39</xdr:row>
      <xdr:rowOff>19050</xdr:rowOff>
    </xdr:from>
    <xdr:to>
      <xdr:col>2</xdr:col>
      <xdr:colOff>3175</xdr:colOff>
      <xdr:row>40</xdr:row>
      <xdr:rowOff>0</xdr:rowOff>
    </xdr:to>
    <xdr:pic>
      <xdr:nvPicPr>
        <xdr:cNvPr id="232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40</xdr:row>
      <xdr:rowOff>19050</xdr:rowOff>
    </xdr:from>
    <xdr:to>
      <xdr:col>2</xdr:col>
      <xdr:colOff>3175</xdr:colOff>
      <xdr:row>41</xdr:row>
      <xdr:rowOff>0</xdr:rowOff>
    </xdr:to>
    <xdr:pic>
      <xdr:nvPicPr>
        <xdr:cNvPr id="233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41</xdr:row>
      <xdr:rowOff>19050</xdr:rowOff>
    </xdr:from>
    <xdr:to>
      <xdr:col>2</xdr:col>
      <xdr:colOff>3175</xdr:colOff>
      <xdr:row>42</xdr:row>
      <xdr:rowOff>0</xdr:rowOff>
    </xdr:to>
    <xdr:pic>
      <xdr:nvPicPr>
        <xdr:cNvPr id="234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42</xdr:row>
      <xdr:rowOff>19050</xdr:rowOff>
    </xdr:from>
    <xdr:to>
      <xdr:col>2</xdr:col>
      <xdr:colOff>3175</xdr:colOff>
      <xdr:row>43</xdr:row>
      <xdr:rowOff>0</xdr:rowOff>
    </xdr:to>
    <xdr:pic>
      <xdr:nvPicPr>
        <xdr:cNvPr id="235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43</xdr:row>
      <xdr:rowOff>19050</xdr:rowOff>
    </xdr:from>
    <xdr:to>
      <xdr:col>2</xdr:col>
      <xdr:colOff>3175</xdr:colOff>
      <xdr:row>44</xdr:row>
      <xdr:rowOff>0</xdr:rowOff>
    </xdr:to>
    <xdr:pic>
      <xdr:nvPicPr>
        <xdr:cNvPr id="236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44</xdr:row>
      <xdr:rowOff>19050</xdr:rowOff>
    </xdr:from>
    <xdr:to>
      <xdr:col>2</xdr:col>
      <xdr:colOff>3175</xdr:colOff>
      <xdr:row>45</xdr:row>
      <xdr:rowOff>0</xdr:rowOff>
    </xdr:to>
    <xdr:pic>
      <xdr:nvPicPr>
        <xdr:cNvPr id="237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45</xdr:row>
      <xdr:rowOff>19050</xdr:rowOff>
    </xdr:from>
    <xdr:to>
      <xdr:col>2</xdr:col>
      <xdr:colOff>3175</xdr:colOff>
      <xdr:row>46</xdr:row>
      <xdr:rowOff>0</xdr:rowOff>
    </xdr:to>
    <xdr:pic>
      <xdr:nvPicPr>
        <xdr:cNvPr id="238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46</xdr:row>
      <xdr:rowOff>19050</xdr:rowOff>
    </xdr:from>
    <xdr:to>
      <xdr:col>2</xdr:col>
      <xdr:colOff>3175</xdr:colOff>
      <xdr:row>47</xdr:row>
      <xdr:rowOff>0</xdr:rowOff>
    </xdr:to>
    <xdr:pic>
      <xdr:nvPicPr>
        <xdr:cNvPr id="239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47</xdr:row>
      <xdr:rowOff>19050</xdr:rowOff>
    </xdr:from>
    <xdr:to>
      <xdr:col>2</xdr:col>
      <xdr:colOff>3175</xdr:colOff>
      <xdr:row>48</xdr:row>
      <xdr:rowOff>0</xdr:rowOff>
    </xdr:to>
    <xdr:pic>
      <xdr:nvPicPr>
        <xdr:cNvPr id="240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48</xdr:row>
      <xdr:rowOff>19050</xdr:rowOff>
    </xdr:from>
    <xdr:to>
      <xdr:col>2</xdr:col>
      <xdr:colOff>3175</xdr:colOff>
      <xdr:row>49</xdr:row>
      <xdr:rowOff>0</xdr:rowOff>
    </xdr:to>
    <xdr:pic>
      <xdr:nvPicPr>
        <xdr:cNvPr id="24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</xdr:row>
      <xdr:rowOff>19050</xdr:rowOff>
    </xdr:from>
    <xdr:to>
      <xdr:col>2</xdr:col>
      <xdr:colOff>3175</xdr:colOff>
      <xdr:row>3</xdr:row>
      <xdr:rowOff>0</xdr:rowOff>
    </xdr:to>
    <xdr:pic>
      <xdr:nvPicPr>
        <xdr:cNvPr id="24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</xdr:row>
      <xdr:rowOff>19050</xdr:rowOff>
    </xdr:from>
    <xdr:to>
      <xdr:col>2</xdr:col>
      <xdr:colOff>3175</xdr:colOff>
      <xdr:row>3</xdr:row>
      <xdr:rowOff>0</xdr:rowOff>
    </xdr:to>
    <xdr:pic>
      <xdr:nvPicPr>
        <xdr:cNvPr id="24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</xdr:row>
      <xdr:rowOff>19050</xdr:rowOff>
    </xdr:from>
    <xdr:to>
      <xdr:col>2</xdr:col>
      <xdr:colOff>3175</xdr:colOff>
      <xdr:row>4</xdr:row>
      <xdr:rowOff>0</xdr:rowOff>
    </xdr:to>
    <xdr:pic>
      <xdr:nvPicPr>
        <xdr:cNvPr id="24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</xdr:row>
      <xdr:rowOff>19050</xdr:rowOff>
    </xdr:from>
    <xdr:to>
      <xdr:col>2</xdr:col>
      <xdr:colOff>3175</xdr:colOff>
      <xdr:row>5</xdr:row>
      <xdr:rowOff>0</xdr:rowOff>
    </xdr:to>
    <xdr:pic>
      <xdr:nvPicPr>
        <xdr:cNvPr id="24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5</xdr:row>
      <xdr:rowOff>19050</xdr:rowOff>
    </xdr:from>
    <xdr:to>
      <xdr:col>2</xdr:col>
      <xdr:colOff>3175</xdr:colOff>
      <xdr:row>6</xdr:row>
      <xdr:rowOff>0</xdr:rowOff>
    </xdr:to>
    <xdr:pic>
      <xdr:nvPicPr>
        <xdr:cNvPr id="24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6</xdr:row>
      <xdr:rowOff>19050</xdr:rowOff>
    </xdr:from>
    <xdr:to>
      <xdr:col>2</xdr:col>
      <xdr:colOff>3175</xdr:colOff>
      <xdr:row>7</xdr:row>
      <xdr:rowOff>0</xdr:rowOff>
    </xdr:to>
    <xdr:pic>
      <xdr:nvPicPr>
        <xdr:cNvPr id="24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7</xdr:row>
      <xdr:rowOff>19050</xdr:rowOff>
    </xdr:from>
    <xdr:to>
      <xdr:col>2</xdr:col>
      <xdr:colOff>3175</xdr:colOff>
      <xdr:row>8</xdr:row>
      <xdr:rowOff>0</xdr:rowOff>
    </xdr:to>
    <xdr:pic>
      <xdr:nvPicPr>
        <xdr:cNvPr id="24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8</xdr:row>
      <xdr:rowOff>19050</xdr:rowOff>
    </xdr:from>
    <xdr:to>
      <xdr:col>2</xdr:col>
      <xdr:colOff>3175</xdr:colOff>
      <xdr:row>9</xdr:row>
      <xdr:rowOff>0</xdr:rowOff>
    </xdr:to>
    <xdr:pic>
      <xdr:nvPicPr>
        <xdr:cNvPr id="25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9</xdr:row>
      <xdr:rowOff>19050</xdr:rowOff>
    </xdr:from>
    <xdr:to>
      <xdr:col>2</xdr:col>
      <xdr:colOff>3175</xdr:colOff>
      <xdr:row>10</xdr:row>
      <xdr:rowOff>0</xdr:rowOff>
    </xdr:to>
    <xdr:pic>
      <xdr:nvPicPr>
        <xdr:cNvPr id="25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10</xdr:row>
      <xdr:rowOff>19050</xdr:rowOff>
    </xdr:from>
    <xdr:to>
      <xdr:col>2</xdr:col>
      <xdr:colOff>3175</xdr:colOff>
      <xdr:row>11</xdr:row>
      <xdr:rowOff>0</xdr:rowOff>
    </xdr:to>
    <xdr:pic>
      <xdr:nvPicPr>
        <xdr:cNvPr id="25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11</xdr:row>
      <xdr:rowOff>19050</xdr:rowOff>
    </xdr:from>
    <xdr:to>
      <xdr:col>2</xdr:col>
      <xdr:colOff>3175</xdr:colOff>
      <xdr:row>12</xdr:row>
      <xdr:rowOff>0</xdr:rowOff>
    </xdr:to>
    <xdr:pic>
      <xdr:nvPicPr>
        <xdr:cNvPr id="25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12</xdr:row>
      <xdr:rowOff>19050</xdr:rowOff>
    </xdr:from>
    <xdr:to>
      <xdr:col>2</xdr:col>
      <xdr:colOff>3175</xdr:colOff>
      <xdr:row>13</xdr:row>
      <xdr:rowOff>0</xdr:rowOff>
    </xdr:to>
    <xdr:pic>
      <xdr:nvPicPr>
        <xdr:cNvPr id="25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13</xdr:row>
      <xdr:rowOff>19050</xdr:rowOff>
    </xdr:from>
    <xdr:to>
      <xdr:col>2</xdr:col>
      <xdr:colOff>3175</xdr:colOff>
      <xdr:row>14</xdr:row>
      <xdr:rowOff>0</xdr:rowOff>
    </xdr:to>
    <xdr:pic>
      <xdr:nvPicPr>
        <xdr:cNvPr id="25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14</xdr:row>
      <xdr:rowOff>19050</xdr:rowOff>
    </xdr:from>
    <xdr:to>
      <xdr:col>2</xdr:col>
      <xdr:colOff>3175</xdr:colOff>
      <xdr:row>15</xdr:row>
      <xdr:rowOff>0</xdr:rowOff>
    </xdr:to>
    <xdr:pic>
      <xdr:nvPicPr>
        <xdr:cNvPr id="25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15</xdr:row>
      <xdr:rowOff>19050</xdr:rowOff>
    </xdr:from>
    <xdr:to>
      <xdr:col>2</xdr:col>
      <xdr:colOff>3175</xdr:colOff>
      <xdr:row>16</xdr:row>
      <xdr:rowOff>0</xdr:rowOff>
    </xdr:to>
    <xdr:pic>
      <xdr:nvPicPr>
        <xdr:cNvPr id="25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16</xdr:row>
      <xdr:rowOff>19050</xdr:rowOff>
    </xdr:from>
    <xdr:to>
      <xdr:col>2</xdr:col>
      <xdr:colOff>3175</xdr:colOff>
      <xdr:row>17</xdr:row>
      <xdr:rowOff>0</xdr:rowOff>
    </xdr:to>
    <xdr:pic>
      <xdr:nvPicPr>
        <xdr:cNvPr id="25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17</xdr:row>
      <xdr:rowOff>19050</xdr:rowOff>
    </xdr:from>
    <xdr:to>
      <xdr:col>2</xdr:col>
      <xdr:colOff>3175</xdr:colOff>
      <xdr:row>18</xdr:row>
      <xdr:rowOff>0</xdr:rowOff>
    </xdr:to>
    <xdr:pic>
      <xdr:nvPicPr>
        <xdr:cNvPr id="25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18</xdr:row>
      <xdr:rowOff>19050</xdr:rowOff>
    </xdr:from>
    <xdr:to>
      <xdr:col>2</xdr:col>
      <xdr:colOff>3175</xdr:colOff>
      <xdr:row>19</xdr:row>
      <xdr:rowOff>0</xdr:rowOff>
    </xdr:to>
    <xdr:pic>
      <xdr:nvPicPr>
        <xdr:cNvPr id="26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19</xdr:row>
      <xdr:rowOff>19050</xdr:rowOff>
    </xdr:from>
    <xdr:to>
      <xdr:col>2</xdr:col>
      <xdr:colOff>3175</xdr:colOff>
      <xdr:row>20</xdr:row>
      <xdr:rowOff>0</xdr:rowOff>
    </xdr:to>
    <xdr:pic>
      <xdr:nvPicPr>
        <xdr:cNvPr id="26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20</xdr:row>
      <xdr:rowOff>19050</xdr:rowOff>
    </xdr:from>
    <xdr:to>
      <xdr:col>2</xdr:col>
      <xdr:colOff>3175</xdr:colOff>
      <xdr:row>21</xdr:row>
      <xdr:rowOff>0</xdr:rowOff>
    </xdr:to>
    <xdr:pic>
      <xdr:nvPicPr>
        <xdr:cNvPr id="26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21</xdr:row>
      <xdr:rowOff>19050</xdr:rowOff>
    </xdr:from>
    <xdr:to>
      <xdr:col>2</xdr:col>
      <xdr:colOff>3175</xdr:colOff>
      <xdr:row>22</xdr:row>
      <xdr:rowOff>0</xdr:rowOff>
    </xdr:to>
    <xdr:pic>
      <xdr:nvPicPr>
        <xdr:cNvPr id="26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22</xdr:row>
      <xdr:rowOff>19050</xdr:rowOff>
    </xdr:from>
    <xdr:to>
      <xdr:col>2</xdr:col>
      <xdr:colOff>3175</xdr:colOff>
      <xdr:row>23</xdr:row>
      <xdr:rowOff>0</xdr:rowOff>
    </xdr:to>
    <xdr:pic>
      <xdr:nvPicPr>
        <xdr:cNvPr id="26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23</xdr:row>
      <xdr:rowOff>19050</xdr:rowOff>
    </xdr:from>
    <xdr:to>
      <xdr:col>2</xdr:col>
      <xdr:colOff>3175</xdr:colOff>
      <xdr:row>24</xdr:row>
      <xdr:rowOff>0</xdr:rowOff>
    </xdr:to>
    <xdr:pic>
      <xdr:nvPicPr>
        <xdr:cNvPr id="26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24</xdr:row>
      <xdr:rowOff>19050</xdr:rowOff>
    </xdr:from>
    <xdr:to>
      <xdr:col>2</xdr:col>
      <xdr:colOff>3175</xdr:colOff>
      <xdr:row>25</xdr:row>
      <xdr:rowOff>0</xdr:rowOff>
    </xdr:to>
    <xdr:pic>
      <xdr:nvPicPr>
        <xdr:cNvPr id="26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25</xdr:row>
      <xdr:rowOff>19050</xdr:rowOff>
    </xdr:from>
    <xdr:to>
      <xdr:col>2</xdr:col>
      <xdr:colOff>3175</xdr:colOff>
      <xdr:row>26</xdr:row>
      <xdr:rowOff>0</xdr:rowOff>
    </xdr:to>
    <xdr:pic>
      <xdr:nvPicPr>
        <xdr:cNvPr id="26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26</xdr:row>
      <xdr:rowOff>19050</xdr:rowOff>
    </xdr:from>
    <xdr:to>
      <xdr:col>2</xdr:col>
      <xdr:colOff>3175</xdr:colOff>
      <xdr:row>27</xdr:row>
      <xdr:rowOff>0</xdr:rowOff>
    </xdr:to>
    <xdr:pic>
      <xdr:nvPicPr>
        <xdr:cNvPr id="26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27</xdr:row>
      <xdr:rowOff>19050</xdr:rowOff>
    </xdr:from>
    <xdr:to>
      <xdr:col>2</xdr:col>
      <xdr:colOff>3175</xdr:colOff>
      <xdr:row>28</xdr:row>
      <xdr:rowOff>0</xdr:rowOff>
    </xdr:to>
    <xdr:pic>
      <xdr:nvPicPr>
        <xdr:cNvPr id="26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28</xdr:row>
      <xdr:rowOff>19050</xdr:rowOff>
    </xdr:from>
    <xdr:to>
      <xdr:col>2</xdr:col>
      <xdr:colOff>3175</xdr:colOff>
      <xdr:row>29</xdr:row>
      <xdr:rowOff>0</xdr:rowOff>
    </xdr:to>
    <xdr:pic>
      <xdr:nvPicPr>
        <xdr:cNvPr id="27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29</xdr:row>
      <xdr:rowOff>19050</xdr:rowOff>
    </xdr:from>
    <xdr:to>
      <xdr:col>2</xdr:col>
      <xdr:colOff>3175</xdr:colOff>
      <xdr:row>30</xdr:row>
      <xdr:rowOff>0</xdr:rowOff>
    </xdr:to>
    <xdr:pic>
      <xdr:nvPicPr>
        <xdr:cNvPr id="27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30</xdr:row>
      <xdr:rowOff>19050</xdr:rowOff>
    </xdr:from>
    <xdr:to>
      <xdr:col>2</xdr:col>
      <xdr:colOff>3175</xdr:colOff>
      <xdr:row>31</xdr:row>
      <xdr:rowOff>0</xdr:rowOff>
    </xdr:to>
    <xdr:pic>
      <xdr:nvPicPr>
        <xdr:cNvPr id="27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31</xdr:row>
      <xdr:rowOff>19050</xdr:rowOff>
    </xdr:from>
    <xdr:to>
      <xdr:col>2</xdr:col>
      <xdr:colOff>3175</xdr:colOff>
      <xdr:row>32</xdr:row>
      <xdr:rowOff>0</xdr:rowOff>
    </xdr:to>
    <xdr:pic>
      <xdr:nvPicPr>
        <xdr:cNvPr id="27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32</xdr:row>
      <xdr:rowOff>19050</xdr:rowOff>
    </xdr:from>
    <xdr:to>
      <xdr:col>2</xdr:col>
      <xdr:colOff>3175</xdr:colOff>
      <xdr:row>33</xdr:row>
      <xdr:rowOff>0</xdr:rowOff>
    </xdr:to>
    <xdr:pic>
      <xdr:nvPicPr>
        <xdr:cNvPr id="27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33</xdr:row>
      <xdr:rowOff>19050</xdr:rowOff>
    </xdr:from>
    <xdr:to>
      <xdr:col>2</xdr:col>
      <xdr:colOff>3175</xdr:colOff>
      <xdr:row>34</xdr:row>
      <xdr:rowOff>0</xdr:rowOff>
    </xdr:to>
    <xdr:pic>
      <xdr:nvPicPr>
        <xdr:cNvPr id="27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34</xdr:row>
      <xdr:rowOff>19050</xdr:rowOff>
    </xdr:from>
    <xdr:to>
      <xdr:col>2</xdr:col>
      <xdr:colOff>3175</xdr:colOff>
      <xdr:row>35</xdr:row>
      <xdr:rowOff>0</xdr:rowOff>
    </xdr:to>
    <xdr:pic>
      <xdr:nvPicPr>
        <xdr:cNvPr id="27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35</xdr:row>
      <xdr:rowOff>19050</xdr:rowOff>
    </xdr:from>
    <xdr:to>
      <xdr:col>2</xdr:col>
      <xdr:colOff>3175</xdr:colOff>
      <xdr:row>36</xdr:row>
      <xdr:rowOff>0</xdr:rowOff>
    </xdr:to>
    <xdr:pic>
      <xdr:nvPicPr>
        <xdr:cNvPr id="27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36</xdr:row>
      <xdr:rowOff>19050</xdr:rowOff>
    </xdr:from>
    <xdr:to>
      <xdr:col>2</xdr:col>
      <xdr:colOff>3175</xdr:colOff>
      <xdr:row>37</xdr:row>
      <xdr:rowOff>0</xdr:rowOff>
    </xdr:to>
    <xdr:pic>
      <xdr:nvPicPr>
        <xdr:cNvPr id="27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37</xdr:row>
      <xdr:rowOff>19050</xdr:rowOff>
    </xdr:from>
    <xdr:to>
      <xdr:col>2</xdr:col>
      <xdr:colOff>3175</xdr:colOff>
      <xdr:row>38</xdr:row>
      <xdr:rowOff>0</xdr:rowOff>
    </xdr:to>
    <xdr:pic>
      <xdr:nvPicPr>
        <xdr:cNvPr id="27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38</xdr:row>
      <xdr:rowOff>19050</xdr:rowOff>
    </xdr:from>
    <xdr:to>
      <xdr:col>2</xdr:col>
      <xdr:colOff>3175</xdr:colOff>
      <xdr:row>39</xdr:row>
      <xdr:rowOff>0</xdr:rowOff>
    </xdr:to>
    <xdr:pic>
      <xdr:nvPicPr>
        <xdr:cNvPr id="28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39</xdr:row>
      <xdr:rowOff>19050</xdr:rowOff>
    </xdr:from>
    <xdr:to>
      <xdr:col>2</xdr:col>
      <xdr:colOff>3175</xdr:colOff>
      <xdr:row>40</xdr:row>
      <xdr:rowOff>0</xdr:rowOff>
    </xdr:to>
    <xdr:pic>
      <xdr:nvPicPr>
        <xdr:cNvPr id="28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40</xdr:row>
      <xdr:rowOff>19050</xdr:rowOff>
    </xdr:from>
    <xdr:to>
      <xdr:col>2</xdr:col>
      <xdr:colOff>3175</xdr:colOff>
      <xdr:row>41</xdr:row>
      <xdr:rowOff>0</xdr:rowOff>
    </xdr:to>
    <xdr:pic>
      <xdr:nvPicPr>
        <xdr:cNvPr id="28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41</xdr:row>
      <xdr:rowOff>19050</xdr:rowOff>
    </xdr:from>
    <xdr:to>
      <xdr:col>2</xdr:col>
      <xdr:colOff>3175</xdr:colOff>
      <xdr:row>42</xdr:row>
      <xdr:rowOff>0</xdr:rowOff>
    </xdr:to>
    <xdr:pic>
      <xdr:nvPicPr>
        <xdr:cNvPr id="28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42</xdr:row>
      <xdr:rowOff>19050</xdr:rowOff>
    </xdr:from>
    <xdr:to>
      <xdr:col>2</xdr:col>
      <xdr:colOff>3175</xdr:colOff>
      <xdr:row>43</xdr:row>
      <xdr:rowOff>0</xdr:rowOff>
    </xdr:to>
    <xdr:pic>
      <xdr:nvPicPr>
        <xdr:cNvPr id="28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43</xdr:row>
      <xdr:rowOff>19050</xdr:rowOff>
    </xdr:from>
    <xdr:to>
      <xdr:col>2</xdr:col>
      <xdr:colOff>3175</xdr:colOff>
      <xdr:row>44</xdr:row>
      <xdr:rowOff>0</xdr:rowOff>
    </xdr:to>
    <xdr:pic>
      <xdr:nvPicPr>
        <xdr:cNvPr id="28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44</xdr:row>
      <xdr:rowOff>19050</xdr:rowOff>
    </xdr:from>
    <xdr:to>
      <xdr:col>2</xdr:col>
      <xdr:colOff>3175</xdr:colOff>
      <xdr:row>45</xdr:row>
      <xdr:rowOff>0</xdr:rowOff>
    </xdr:to>
    <xdr:pic>
      <xdr:nvPicPr>
        <xdr:cNvPr id="28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45</xdr:row>
      <xdr:rowOff>19050</xdr:rowOff>
    </xdr:from>
    <xdr:to>
      <xdr:col>2</xdr:col>
      <xdr:colOff>3175</xdr:colOff>
      <xdr:row>46</xdr:row>
      <xdr:rowOff>0</xdr:rowOff>
    </xdr:to>
    <xdr:pic>
      <xdr:nvPicPr>
        <xdr:cNvPr id="28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46</xdr:row>
      <xdr:rowOff>19050</xdr:rowOff>
    </xdr:from>
    <xdr:to>
      <xdr:col>2</xdr:col>
      <xdr:colOff>3175</xdr:colOff>
      <xdr:row>47</xdr:row>
      <xdr:rowOff>0</xdr:rowOff>
    </xdr:to>
    <xdr:pic>
      <xdr:nvPicPr>
        <xdr:cNvPr id="28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47</xdr:row>
      <xdr:rowOff>19050</xdr:rowOff>
    </xdr:from>
    <xdr:to>
      <xdr:col>2</xdr:col>
      <xdr:colOff>3175</xdr:colOff>
      <xdr:row>48</xdr:row>
      <xdr:rowOff>0</xdr:rowOff>
    </xdr:to>
    <xdr:pic>
      <xdr:nvPicPr>
        <xdr:cNvPr id="28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48</xdr:row>
      <xdr:rowOff>19050</xdr:rowOff>
    </xdr:from>
    <xdr:to>
      <xdr:col>2</xdr:col>
      <xdr:colOff>3175</xdr:colOff>
      <xdr:row>49</xdr:row>
      <xdr:rowOff>0</xdr:rowOff>
    </xdr:to>
    <xdr:pic>
      <xdr:nvPicPr>
        <xdr:cNvPr id="29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115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sheetData>
    <row r="1" spans="1:42" x14ac:dyDescent="0.2">
      <c r="A1" t="s">
        <v>810</v>
      </c>
      <c r="B1" t="s">
        <v>604</v>
      </c>
      <c r="C1" t="s">
        <v>1252</v>
      </c>
      <c r="D1" t="s">
        <v>652</v>
      </c>
      <c r="E1" t="s">
        <v>1490</v>
      </c>
      <c r="F1" t="s">
        <v>1543</v>
      </c>
      <c r="G1" t="s">
        <v>1333</v>
      </c>
      <c r="H1" t="s">
        <v>68</v>
      </c>
      <c r="I1" t="s">
        <v>67</v>
      </c>
      <c r="J1" t="s">
        <v>718</v>
      </c>
      <c r="K1" t="s">
        <v>1816</v>
      </c>
      <c r="L1" t="s">
        <v>1681</v>
      </c>
      <c r="M1" t="s">
        <v>1086</v>
      </c>
      <c r="N1" t="s">
        <v>841</v>
      </c>
      <c r="O1" t="s">
        <v>1706</v>
      </c>
      <c r="P1" t="s">
        <v>840</v>
      </c>
      <c r="Q1" t="s">
        <v>1453</v>
      </c>
      <c r="R1" t="s">
        <v>278</v>
      </c>
      <c r="S1" t="s">
        <v>1760</v>
      </c>
      <c r="T1" t="s">
        <v>1313</v>
      </c>
      <c r="U1" t="s">
        <v>570</v>
      </c>
      <c r="V1" t="s">
        <v>1489</v>
      </c>
      <c r="W1" t="s">
        <v>1907</v>
      </c>
      <c r="X1" t="s">
        <v>345</v>
      </c>
      <c r="Y1" t="s">
        <v>1614</v>
      </c>
      <c r="Z1" t="s">
        <v>438</v>
      </c>
      <c r="AA1" t="s">
        <v>277</v>
      </c>
      <c r="AB1" t="s">
        <v>1280</v>
      </c>
      <c r="AC1" t="s">
        <v>131</v>
      </c>
      <c r="AD1" t="s">
        <v>597</v>
      </c>
      <c r="AE1" t="s">
        <v>1947</v>
      </c>
      <c r="AF1" t="s">
        <v>811</v>
      </c>
      <c r="AG1" t="s">
        <v>1985</v>
      </c>
      <c r="AH1" t="s">
        <v>252</v>
      </c>
      <c r="AI1" t="s">
        <v>417</v>
      </c>
      <c r="AJ1" t="s">
        <v>842</v>
      </c>
      <c r="AK1" t="s">
        <v>41</v>
      </c>
      <c r="AL1" t="s">
        <v>251</v>
      </c>
      <c r="AM1" t="s">
        <v>1251</v>
      </c>
      <c r="AN1" t="s">
        <v>1852</v>
      </c>
      <c r="AO1" t="s">
        <v>786</v>
      </c>
      <c r="AP1" t="s">
        <v>489</v>
      </c>
    </row>
    <row r="2" spans="1:42" x14ac:dyDescent="0.2">
      <c r="A2" t="s">
        <v>1990</v>
      </c>
      <c r="B2" t="s">
        <v>1991</v>
      </c>
      <c r="C2" t="s">
        <v>1992</v>
      </c>
      <c r="D2" t="s">
        <v>1993</v>
      </c>
      <c r="E2" t="s">
        <v>1994</v>
      </c>
      <c r="F2" t="s">
        <v>1995</v>
      </c>
      <c r="G2" t="s">
        <v>1996</v>
      </c>
      <c r="H2" t="s">
        <v>1997</v>
      </c>
      <c r="I2" t="s">
        <v>1998</v>
      </c>
      <c r="J2" t="s">
        <v>1999</v>
      </c>
      <c r="K2" t="s">
        <v>2000</v>
      </c>
      <c r="L2" t="s">
        <v>2001</v>
      </c>
      <c r="M2" t="s">
        <v>2002</v>
      </c>
      <c r="N2" t="s">
        <v>2004</v>
      </c>
      <c r="O2" t="s">
        <v>2005</v>
      </c>
      <c r="P2" t="s">
        <v>2006</v>
      </c>
      <c r="Q2" t="s">
        <v>2007</v>
      </c>
      <c r="R2" t="s">
        <v>2008</v>
      </c>
      <c r="S2" t="s">
        <v>2009</v>
      </c>
      <c r="T2" t="s">
        <v>2010</v>
      </c>
      <c r="U2" t="s">
        <v>2011</v>
      </c>
      <c r="V2" t="s">
        <v>2012</v>
      </c>
      <c r="W2" t="s">
        <v>2013</v>
      </c>
      <c r="X2" t="s">
        <v>2014</v>
      </c>
      <c r="Y2" t="s">
        <v>2015</v>
      </c>
      <c r="Z2" t="s">
        <v>2016</v>
      </c>
      <c r="AA2" t="s">
        <v>2017</v>
      </c>
      <c r="AB2" t="s">
        <v>2003</v>
      </c>
      <c r="AC2" t="s">
        <v>2018</v>
      </c>
      <c r="AD2" t="s">
        <v>2019</v>
      </c>
      <c r="AE2" t="s">
        <v>2020</v>
      </c>
      <c r="AF2" t="s">
        <v>2021</v>
      </c>
      <c r="AG2" t="s">
        <v>2022</v>
      </c>
      <c r="AH2" t="s">
        <v>2023</v>
      </c>
      <c r="AI2" t="s">
        <v>2024</v>
      </c>
      <c r="AJ2" t="s">
        <v>2704</v>
      </c>
      <c r="AK2" t="s">
        <v>2025</v>
      </c>
      <c r="AL2" t="s">
        <v>2026</v>
      </c>
      <c r="AM2" t="s">
        <v>2027</v>
      </c>
      <c r="AN2" t="s">
        <v>2028</v>
      </c>
      <c r="AO2" s="50" t="s">
        <v>2703</v>
      </c>
      <c r="AP2" t="s">
        <v>490</v>
      </c>
    </row>
    <row r="3" spans="1:42" x14ac:dyDescent="0.2">
      <c r="A3" t="s">
        <v>792</v>
      </c>
      <c r="B3" t="s">
        <v>605</v>
      </c>
      <c r="C3" t="s">
        <v>389</v>
      </c>
      <c r="D3" t="s">
        <v>653</v>
      </c>
      <c r="E3" t="s">
        <v>1491</v>
      </c>
      <c r="F3" t="s">
        <v>1544</v>
      </c>
      <c r="G3" t="s">
        <v>1334</v>
      </c>
      <c r="H3" t="s">
        <v>69</v>
      </c>
      <c r="I3" t="s">
        <v>1579</v>
      </c>
      <c r="J3" t="s">
        <v>719</v>
      </c>
      <c r="K3" t="s">
        <v>1817</v>
      </c>
      <c r="L3" t="s">
        <v>1682</v>
      </c>
      <c r="M3" t="s">
        <v>1087</v>
      </c>
      <c r="N3" t="s">
        <v>795</v>
      </c>
      <c r="O3" t="s">
        <v>1707</v>
      </c>
      <c r="P3" t="s">
        <v>794</v>
      </c>
      <c r="Q3" t="s">
        <v>1372</v>
      </c>
      <c r="R3" t="s">
        <v>279</v>
      </c>
      <c r="S3" t="s">
        <v>1761</v>
      </c>
      <c r="T3" t="s">
        <v>704</v>
      </c>
      <c r="U3" t="s">
        <v>571</v>
      </c>
      <c r="V3" t="s">
        <v>412</v>
      </c>
      <c r="W3" t="s">
        <v>1908</v>
      </c>
      <c r="X3" t="s">
        <v>346</v>
      </c>
      <c r="Y3" t="s">
        <v>1615</v>
      </c>
      <c r="Z3" t="s">
        <v>439</v>
      </c>
      <c r="AA3" t="s">
        <v>266</v>
      </c>
      <c r="AB3" t="s">
        <v>1137</v>
      </c>
      <c r="AC3" t="s">
        <v>132</v>
      </c>
      <c r="AD3" t="s">
        <v>796</v>
      </c>
      <c r="AE3" t="s">
        <v>1948</v>
      </c>
      <c r="AF3" t="s">
        <v>793</v>
      </c>
      <c r="AG3" t="s">
        <v>1986</v>
      </c>
      <c r="AH3" t="s">
        <v>253</v>
      </c>
      <c r="AI3" t="s">
        <v>418</v>
      </c>
      <c r="AJ3" t="s">
        <v>796</v>
      </c>
      <c r="AK3" t="s">
        <v>42</v>
      </c>
      <c r="AL3" t="s">
        <v>171</v>
      </c>
      <c r="AM3" t="s">
        <v>1188</v>
      </c>
      <c r="AN3" t="s">
        <v>1853</v>
      </c>
      <c r="AO3" t="s">
        <v>734</v>
      </c>
      <c r="AP3" t="s">
        <v>491</v>
      </c>
    </row>
    <row r="4" spans="1:42" x14ac:dyDescent="0.2">
      <c r="A4" t="s">
        <v>975</v>
      </c>
      <c r="B4" t="s">
        <v>606</v>
      </c>
      <c r="C4" t="s">
        <v>390</v>
      </c>
      <c r="D4" t="s">
        <v>654</v>
      </c>
      <c r="E4" t="s">
        <v>1492</v>
      </c>
      <c r="F4" t="s">
        <v>1545</v>
      </c>
      <c r="G4" t="s">
        <v>1335</v>
      </c>
      <c r="H4" t="s">
        <v>70</v>
      </c>
      <c r="I4" t="s">
        <v>1580</v>
      </c>
      <c r="J4" t="s">
        <v>720</v>
      </c>
      <c r="K4" t="s">
        <v>1818</v>
      </c>
      <c r="L4" t="s">
        <v>1683</v>
      </c>
      <c r="M4" t="s">
        <v>1088</v>
      </c>
      <c r="N4" t="s">
        <v>1010</v>
      </c>
      <c r="O4" t="s">
        <v>1708</v>
      </c>
      <c r="P4" t="s">
        <v>992</v>
      </c>
      <c r="Q4" t="s">
        <v>1373</v>
      </c>
      <c r="R4" t="s">
        <v>280</v>
      </c>
      <c r="S4" t="s">
        <v>1762</v>
      </c>
      <c r="T4" t="s">
        <v>705</v>
      </c>
      <c r="U4" t="s">
        <v>572</v>
      </c>
      <c r="V4" t="s">
        <v>413</v>
      </c>
      <c r="W4" t="s">
        <v>2479</v>
      </c>
      <c r="X4" t="s">
        <v>347</v>
      </c>
      <c r="Y4" t="s">
        <v>1616</v>
      </c>
      <c r="Z4" t="s">
        <v>440</v>
      </c>
      <c r="AA4" t="s">
        <v>267</v>
      </c>
      <c r="AB4" t="s">
        <v>1279</v>
      </c>
      <c r="AC4" t="s">
        <v>133</v>
      </c>
      <c r="AD4" t="s">
        <v>598</v>
      </c>
      <c r="AE4" t="s">
        <v>1949</v>
      </c>
      <c r="AF4" t="s">
        <v>976</v>
      </c>
      <c r="AG4" t="s">
        <v>1987</v>
      </c>
      <c r="AH4" t="s">
        <v>254</v>
      </c>
      <c r="AI4" t="s">
        <v>419</v>
      </c>
      <c r="AJ4" t="s">
        <v>1011</v>
      </c>
      <c r="AK4" t="s">
        <v>788</v>
      </c>
      <c r="AL4" t="s">
        <v>172</v>
      </c>
      <c r="AM4" t="s">
        <v>1189</v>
      </c>
      <c r="AN4" t="s">
        <v>1854</v>
      </c>
      <c r="AO4" t="s">
        <v>735</v>
      </c>
      <c r="AP4" t="s">
        <v>492</v>
      </c>
    </row>
    <row r="5" spans="1:42" x14ac:dyDescent="0.2">
      <c r="A5" t="s">
        <v>807</v>
      </c>
      <c r="B5" t="s">
        <v>607</v>
      </c>
      <c r="C5" t="s">
        <v>391</v>
      </c>
      <c r="D5" t="s">
        <v>655</v>
      </c>
      <c r="E5" t="s">
        <v>1493</v>
      </c>
      <c r="F5" t="s">
        <v>1546</v>
      </c>
      <c r="G5" t="s">
        <v>1336</v>
      </c>
      <c r="H5" t="s">
        <v>71</v>
      </c>
      <c r="I5" t="s">
        <v>1581</v>
      </c>
      <c r="J5" t="s">
        <v>1988</v>
      </c>
      <c r="K5" t="s">
        <v>1819</v>
      </c>
      <c r="L5" t="s">
        <v>1684</v>
      </c>
      <c r="M5" t="s">
        <v>1089</v>
      </c>
      <c r="N5" t="s">
        <v>846</v>
      </c>
      <c r="O5" t="s">
        <v>1709</v>
      </c>
      <c r="P5" t="s">
        <v>845</v>
      </c>
      <c r="Q5" t="s">
        <v>1374</v>
      </c>
      <c r="R5" t="s">
        <v>281</v>
      </c>
      <c r="S5" t="s">
        <v>1763</v>
      </c>
      <c r="T5" t="s">
        <v>1314</v>
      </c>
      <c r="U5" t="s">
        <v>573</v>
      </c>
      <c r="V5" t="s">
        <v>414</v>
      </c>
      <c r="W5" t="s">
        <v>2480</v>
      </c>
      <c r="X5" t="s">
        <v>348</v>
      </c>
      <c r="Y5" t="s">
        <v>1617</v>
      </c>
      <c r="Z5" t="s">
        <v>441</v>
      </c>
      <c r="AA5" t="s">
        <v>1684</v>
      </c>
      <c r="AB5" t="s">
        <v>1138</v>
      </c>
      <c r="AC5" t="s">
        <v>134</v>
      </c>
      <c r="AD5" t="s">
        <v>599</v>
      </c>
      <c r="AE5" t="s">
        <v>1950</v>
      </c>
      <c r="AF5" t="s">
        <v>813</v>
      </c>
      <c r="AG5" t="s">
        <v>1988</v>
      </c>
      <c r="AH5" t="s">
        <v>255</v>
      </c>
      <c r="AI5" t="s">
        <v>420</v>
      </c>
      <c r="AJ5" t="s">
        <v>847</v>
      </c>
      <c r="AK5" t="s">
        <v>43</v>
      </c>
      <c r="AL5" t="s">
        <v>173</v>
      </c>
      <c r="AM5" t="s">
        <v>1190</v>
      </c>
      <c r="AN5" t="s">
        <v>1855</v>
      </c>
      <c r="AO5" t="s">
        <v>736</v>
      </c>
      <c r="AP5" t="s">
        <v>493</v>
      </c>
    </row>
    <row r="6" spans="1:42" x14ac:dyDescent="0.2">
      <c r="A6" t="s">
        <v>808</v>
      </c>
      <c r="B6" t="s">
        <v>608</v>
      </c>
      <c r="C6" t="s">
        <v>392</v>
      </c>
      <c r="D6" t="s">
        <v>656</v>
      </c>
      <c r="E6" t="s">
        <v>1494</v>
      </c>
      <c r="F6" t="s">
        <v>1547</v>
      </c>
      <c r="G6" t="s">
        <v>1337</v>
      </c>
      <c r="H6" t="s">
        <v>72</v>
      </c>
      <c r="I6" t="s">
        <v>1582</v>
      </c>
      <c r="J6" t="s">
        <v>1989</v>
      </c>
      <c r="K6" t="s">
        <v>1820</v>
      </c>
      <c r="L6" t="s">
        <v>1685</v>
      </c>
      <c r="M6" t="s">
        <v>1090</v>
      </c>
      <c r="N6" t="s">
        <v>849</v>
      </c>
      <c r="O6" t="s">
        <v>1710</v>
      </c>
      <c r="P6" t="s">
        <v>848</v>
      </c>
      <c r="Q6" t="s">
        <v>1375</v>
      </c>
      <c r="R6" t="s">
        <v>282</v>
      </c>
      <c r="S6" t="s">
        <v>1764</v>
      </c>
      <c r="T6" t="s">
        <v>1315</v>
      </c>
      <c r="U6" t="s">
        <v>574</v>
      </c>
      <c r="V6" t="s">
        <v>1454</v>
      </c>
      <c r="W6" t="s">
        <v>1909</v>
      </c>
      <c r="X6" t="s">
        <v>349</v>
      </c>
      <c r="Y6" t="s">
        <v>1618</v>
      </c>
      <c r="Z6" t="s">
        <v>442</v>
      </c>
      <c r="AA6" t="s">
        <v>1685</v>
      </c>
      <c r="AB6" t="s">
        <v>1139</v>
      </c>
      <c r="AC6" t="s">
        <v>135</v>
      </c>
      <c r="AD6" t="s">
        <v>600</v>
      </c>
      <c r="AE6" t="s">
        <v>1685</v>
      </c>
      <c r="AF6" t="s">
        <v>814</v>
      </c>
      <c r="AG6" t="s">
        <v>1989</v>
      </c>
      <c r="AH6" t="s">
        <v>1820</v>
      </c>
      <c r="AI6" t="s">
        <v>421</v>
      </c>
      <c r="AJ6" t="s">
        <v>850</v>
      </c>
      <c r="AK6" t="s">
        <v>44</v>
      </c>
      <c r="AL6" t="s">
        <v>174</v>
      </c>
      <c r="AM6" t="s">
        <v>1191</v>
      </c>
      <c r="AN6" t="s">
        <v>1856</v>
      </c>
      <c r="AO6" t="s">
        <v>737</v>
      </c>
      <c r="AP6" t="s">
        <v>494</v>
      </c>
    </row>
    <row r="7" spans="1:42" x14ac:dyDescent="0.2">
      <c r="A7" t="s">
        <v>839</v>
      </c>
      <c r="B7" t="s">
        <v>609</v>
      </c>
      <c r="C7" t="s">
        <v>393</v>
      </c>
      <c r="D7" t="s">
        <v>657</v>
      </c>
      <c r="E7" t="s">
        <v>1495</v>
      </c>
      <c r="F7" t="s">
        <v>1548</v>
      </c>
      <c r="G7" t="s">
        <v>1338</v>
      </c>
      <c r="H7" t="s">
        <v>73</v>
      </c>
      <c r="I7" t="s">
        <v>1583</v>
      </c>
      <c r="J7" t="s">
        <v>0</v>
      </c>
      <c r="K7" t="s">
        <v>1821</v>
      </c>
      <c r="L7" t="s">
        <v>1686</v>
      </c>
      <c r="M7" t="s">
        <v>1091</v>
      </c>
      <c r="N7" t="s">
        <v>851</v>
      </c>
      <c r="O7" t="s">
        <v>1711</v>
      </c>
      <c r="P7" t="s">
        <v>993</v>
      </c>
      <c r="Q7" t="s">
        <v>1376</v>
      </c>
      <c r="R7" t="s">
        <v>283</v>
      </c>
      <c r="S7" t="s">
        <v>1765</v>
      </c>
      <c r="T7" t="s">
        <v>706</v>
      </c>
      <c r="U7" t="s">
        <v>575</v>
      </c>
      <c r="V7" t="s">
        <v>415</v>
      </c>
      <c r="W7" t="s">
        <v>2481</v>
      </c>
      <c r="X7" t="s">
        <v>350</v>
      </c>
      <c r="Y7" t="s">
        <v>1619</v>
      </c>
      <c r="Z7" t="s">
        <v>443</v>
      </c>
      <c r="AA7" t="s">
        <v>268</v>
      </c>
      <c r="AB7" t="s">
        <v>1140</v>
      </c>
      <c r="AC7" t="s">
        <v>136</v>
      </c>
      <c r="AD7" t="s">
        <v>601</v>
      </c>
      <c r="AE7" t="s">
        <v>1951</v>
      </c>
      <c r="AF7" t="s">
        <v>815</v>
      </c>
      <c r="AG7" t="s">
        <v>0</v>
      </c>
      <c r="AH7" t="s">
        <v>256</v>
      </c>
      <c r="AI7" t="s">
        <v>422</v>
      </c>
      <c r="AJ7" t="s">
        <v>852</v>
      </c>
      <c r="AK7" t="s">
        <v>789</v>
      </c>
      <c r="AL7" t="s">
        <v>175</v>
      </c>
      <c r="AM7" t="s">
        <v>1192</v>
      </c>
      <c r="AN7" t="s">
        <v>1857</v>
      </c>
      <c r="AO7" t="s">
        <v>738</v>
      </c>
      <c r="AP7" t="s">
        <v>495</v>
      </c>
    </row>
    <row r="8" spans="1:42" x14ac:dyDescent="0.2">
      <c r="A8" t="s">
        <v>806</v>
      </c>
      <c r="B8" t="s">
        <v>610</v>
      </c>
      <c r="C8" t="s">
        <v>394</v>
      </c>
      <c r="D8" t="s">
        <v>658</v>
      </c>
      <c r="E8" t="s">
        <v>806</v>
      </c>
      <c r="F8" t="s">
        <v>816</v>
      </c>
      <c r="G8" t="s">
        <v>806</v>
      </c>
      <c r="H8" t="s">
        <v>74</v>
      </c>
      <c r="I8" t="s">
        <v>1584</v>
      </c>
      <c r="J8" t="s">
        <v>853</v>
      </c>
      <c r="K8" t="s">
        <v>1822</v>
      </c>
      <c r="L8" t="s">
        <v>853</v>
      </c>
      <c r="M8" t="s">
        <v>853</v>
      </c>
      <c r="N8" t="s">
        <v>853</v>
      </c>
      <c r="O8" t="s">
        <v>1712</v>
      </c>
      <c r="P8" t="s">
        <v>853</v>
      </c>
      <c r="Q8" t="s">
        <v>1377</v>
      </c>
      <c r="R8" t="s">
        <v>284</v>
      </c>
      <c r="S8" t="s">
        <v>1766</v>
      </c>
      <c r="T8" t="s">
        <v>806</v>
      </c>
      <c r="U8" t="s">
        <v>576</v>
      </c>
      <c r="V8" t="s">
        <v>853</v>
      </c>
      <c r="W8" t="s">
        <v>1910</v>
      </c>
      <c r="X8" t="s">
        <v>330</v>
      </c>
      <c r="Y8" t="s">
        <v>1620</v>
      </c>
      <c r="Z8" t="s">
        <v>444</v>
      </c>
      <c r="AA8" t="s">
        <v>853</v>
      </c>
      <c r="AB8" t="s">
        <v>1141</v>
      </c>
      <c r="AC8" t="s">
        <v>137</v>
      </c>
      <c r="AD8" t="s">
        <v>806</v>
      </c>
      <c r="AE8" t="s">
        <v>1952</v>
      </c>
      <c r="AF8" t="s">
        <v>816</v>
      </c>
      <c r="AG8" t="s">
        <v>853</v>
      </c>
      <c r="AH8" t="s">
        <v>1822</v>
      </c>
      <c r="AI8" t="s">
        <v>853</v>
      </c>
      <c r="AJ8" t="s">
        <v>806</v>
      </c>
      <c r="AK8" t="s">
        <v>806</v>
      </c>
      <c r="AL8" t="s">
        <v>176</v>
      </c>
      <c r="AM8" t="s">
        <v>806</v>
      </c>
      <c r="AN8" t="s">
        <v>1858</v>
      </c>
      <c r="AO8" t="s">
        <v>739</v>
      </c>
      <c r="AP8" t="s">
        <v>496</v>
      </c>
    </row>
    <row r="9" spans="1:42" x14ac:dyDescent="0.2">
      <c r="A9" t="s">
        <v>812</v>
      </c>
      <c r="B9" t="s">
        <v>611</v>
      </c>
      <c r="C9" t="s">
        <v>1253</v>
      </c>
      <c r="D9" t="s">
        <v>659</v>
      </c>
      <c r="E9" t="s">
        <v>1496</v>
      </c>
      <c r="F9" t="s">
        <v>1549</v>
      </c>
      <c r="G9" t="s">
        <v>1193</v>
      </c>
      <c r="H9" t="s">
        <v>75</v>
      </c>
      <c r="I9" t="s">
        <v>1585</v>
      </c>
      <c r="J9" t="s">
        <v>1953</v>
      </c>
      <c r="K9" t="s">
        <v>1823</v>
      </c>
      <c r="L9" t="s">
        <v>854</v>
      </c>
      <c r="M9" t="s">
        <v>1092</v>
      </c>
      <c r="N9" t="s">
        <v>855</v>
      </c>
      <c r="O9" t="s">
        <v>1713</v>
      </c>
      <c r="P9" t="s">
        <v>854</v>
      </c>
      <c r="Q9" t="s">
        <v>1378</v>
      </c>
      <c r="R9" t="s">
        <v>285</v>
      </c>
      <c r="S9" t="s">
        <v>1767</v>
      </c>
      <c r="T9" t="s">
        <v>707</v>
      </c>
      <c r="U9" t="s">
        <v>577</v>
      </c>
      <c r="V9" t="s">
        <v>1455</v>
      </c>
      <c r="W9" t="s">
        <v>1911</v>
      </c>
      <c r="X9" t="s">
        <v>351</v>
      </c>
      <c r="Y9" t="s">
        <v>1549</v>
      </c>
      <c r="Z9" t="s">
        <v>45</v>
      </c>
      <c r="AA9" t="s">
        <v>854</v>
      </c>
      <c r="AB9" t="s">
        <v>1142</v>
      </c>
      <c r="AC9" t="s">
        <v>1953</v>
      </c>
      <c r="AD9" t="s">
        <v>856</v>
      </c>
      <c r="AE9" t="s">
        <v>1953</v>
      </c>
      <c r="AF9" t="s">
        <v>817</v>
      </c>
      <c r="AG9" t="s">
        <v>1953</v>
      </c>
      <c r="AH9" t="s">
        <v>1823</v>
      </c>
      <c r="AI9" t="s">
        <v>1823</v>
      </c>
      <c r="AJ9" t="s">
        <v>856</v>
      </c>
      <c r="AK9" t="s">
        <v>45</v>
      </c>
      <c r="AL9" t="s">
        <v>177</v>
      </c>
      <c r="AM9" t="s">
        <v>1193</v>
      </c>
      <c r="AN9" t="s">
        <v>1859</v>
      </c>
      <c r="AO9" t="s">
        <v>1549</v>
      </c>
      <c r="AP9" t="s">
        <v>491</v>
      </c>
    </row>
    <row r="10" spans="1:42" x14ac:dyDescent="0.2">
      <c r="A10" t="s">
        <v>945</v>
      </c>
      <c r="B10" t="s">
        <v>799</v>
      </c>
      <c r="C10" t="s">
        <v>1254</v>
      </c>
      <c r="D10" t="s">
        <v>660</v>
      </c>
      <c r="E10" t="s">
        <v>1194</v>
      </c>
      <c r="F10" t="s">
        <v>1550</v>
      </c>
      <c r="G10" t="s">
        <v>947</v>
      </c>
      <c r="H10" t="s">
        <v>76</v>
      </c>
      <c r="I10" t="s">
        <v>1586</v>
      </c>
      <c r="J10" t="s">
        <v>945</v>
      </c>
      <c r="K10" t="s">
        <v>1824</v>
      </c>
      <c r="L10" t="s">
        <v>946</v>
      </c>
      <c r="M10" t="s">
        <v>1093</v>
      </c>
      <c r="N10" t="s">
        <v>947</v>
      </c>
      <c r="O10" t="s">
        <v>1714</v>
      </c>
      <c r="P10" t="s">
        <v>946</v>
      </c>
      <c r="Q10" t="s">
        <v>1379</v>
      </c>
      <c r="R10" t="s">
        <v>286</v>
      </c>
      <c r="S10" t="s">
        <v>1196</v>
      </c>
      <c r="T10" t="s">
        <v>1316</v>
      </c>
      <c r="U10" t="s">
        <v>799</v>
      </c>
      <c r="V10" t="s">
        <v>857</v>
      </c>
      <c r="W10" t="s">
        <v>1912</v>
      </c>
      <c r="X10" t="s">
        <v>352</v>
      </c>
      <c r="Y10" t="s">
        <v>1678</v>
      </c>
      <c r="Z10" t="s">
        <v>799</v>
      </c>
      <c r="AA10" t="s">
        <v>923</v>
      </c>
      <c r="AB10" t="s">
        <v>1143</v>
      </c>
      <c r="AC10" t="s">
        <v>1196</v>
      </c>
      <c r="AD10" t="s">
        <v>947</v>
      </c>
      <c r="AE10" t="s">
        <v>947</v>
      </c>
      <c r="AF10" t="s">
        <v>818</v>
      </c>
      <c r="AG10" t="s">
        <v>1</v>
      </c>
      <c r="AH10" t="s">
        <v>1824</v>
      </c>
      <c r="AI10" t="s">
        <v>945</v>
      </c>
      <c r="AJ10" t="s">
        <v>947</v>
      </c>
      <c r="AK10" t="s">
        <v>46</v>
      </c>
      <c r="AL10" t="s">
        <v>178</v>
      </c>
      <c r="AM10" t="s">
        <v>1194</v>
      </c>
      <c r="AN10" t="s">
        <v>1860</v>
      </c>
      <c r="AO10" t="s">
        <v>740</v>
      </c>
      <c r="AP10" t="s">
        <v>497</v>
      </c>
    </row>
    <row r="11" spans="1:42" x14ac:dyDescent="0.2">
      <c r="A11" t="s">
        <v>797</v>
      </c>
      <c r="B11" t="s">
        <v>47</v>
      </c>
      <c r="C11" t="s">
        <v>1255</v>
      </c>
      <c r="D11" t="s">
        <v>661</v>
      </c>
      <c r="E11" t="s">
        <v>1497</v>
      </c>
      <c r="F11" t="s">
        <v>819</v>
      </c>
      <c r="G11" t="s">
        <v>857</v>
      </c>
      <c r="H11" t="s">
        <v>77</v>
      </c>
      <c r="I11" t="s">
        <v>1587</v>
      </c>
      <c r="J11" t="s">
        <v>797</v>
      </c>
      <c r="K11" t="s">
        <v>858</v>
      </c>
      <c r="L11" t="s">
        <v>858</v>
      </c>
      <c r="M11" t="s">
        <v>797</v>
      </c>
      <c r="N11" t="s">
        <v>858</v>
      </c>
      <c r="O11" t="s">
        <v>1715</v>
      </c>
      <c r="P11" t="s">
        <v>923</v>
      </c>
      <c r="Q11" t="s">
        <v>1380</v>
      </c>
      <c r="R11" t="s">
        <v>287</v>
      </c>
      <c r="S11" t="s">
        <v>1768</v>
      </c>
      <c r="T11" t="s">
        <v>1317</v>
      </c>
      <c r="U11" t="s">
        <v>269</v>
      </c>
      <c r="V11" t="s">
        <v>858</v>
      </c>
      <c r="W11" t="s">
        <v>1913</v>
      </c>
      <c r="X11" t="s">
        <v>799</v>
      </c>
      <c r="Y11" t="s">
        <v>819</v>
      </c>
      <c r="Z11" t="s">
        <v>973</v>
      </c>
      <c r="AA11" t="s">
        <v>858</v>
      </c>
      <c r="AB11" t="s">
        <v>1144</v>
      </c>
      <c r="AC11" t="s">
        <v>1824</v>
      </c>
      <c r="AD11" t="s">
        <v>858</v>
      </c>
      <c r="AE11" t="s">
        <v>858</v>
      </c>
      <c r="AF11" t="s">
        <v>820</v>
      </c>
      <c r="AG11" t="s">
        <v>859</v>
      </c>
      <c r="AH11" t="s">
        <v>858</v>
      </c>
      <c r="AI11" t="s">
        <v>797</v>
      </c>
      <c r="AJ11" t="s">
        <v>857</v>
      </c>
      <c r="AK11" t="s">
        <v>858</v>
      </c>
      <c r="AL11" t="s">
        <v>179</v>
      </c>
      <c r="AM11" t="s">
        <v>857</v>
      </c>
      <c r="AN11" t="s">
        <v>1688</v>
      </c>
      <c r="AO11" t="s">
        <v>820</v>
      </c>
      <c r="AP11" t="s">
        <v>498</v>
      </c>
    </row>
    <row r="12" spans="1:42" x14ac:dyDescent="0.2">
      <c r="A12" t="s">
        <v>950</v>
      </c>
      <c r="B12" t="s">
        <v>612</v>
      </c>
      <c r="C12" t="s">
        <v>1256</v>
      </c>
      <c r="D12" t="s">
        <v>662</v>
      </c>
      <c r="E12" t="s">
        <v>1498</v>
      </c>
      <c r="F12" t="s">
        <v>1551</v>
      </c>
      <c r="G12" t="s">
        <v>1339</v>
      </c>
      <c r="H12" t="s">
        <v>78</v>
      </c>
      <c r="I12" t="s">
        <v>1588</v>
      </c>
      <c r="J12" t="s">
        <v>950</v>
      </c>
      <c r="K12" t="s">
        <v>973</v>
      </c>
      <c r="L12" t="s">
        <v>1687</v>
      </c>
      <c r="M12" t="s">
        <v>857</v>
      </c>
      <c r="N12" t="s">
        <v>950</v>
      </c>
      <c r="O12" t="s">
        <v>1716</v>
      </c>
      <c r="P12" t="s">
        <v>950</v>
      </c>
      <c r="Q12" t="s">
        <v>1381</v>
      </c>
      <c r="R12" t="s">
        <v>288</v>
      </c>
      <c r="S12" t="s">
        <v>798</v>
      </c>
      <c r="T12" t="s">
        <v>708</v>
      </c>
      <c r="U12" t="s">
        <v>578</v>
      </c>
      <c r="V12" t="s">
        <v>859</v>
      </c>
      <c r="W12" t="s">
        <v>1914</v>
      </c>
      <c r="X12" t="s">
        <v>353</v>
      </c>
      <c r="Y12" t="s">
        <v>951</v>
      </c>
      <c r="Z12" t="s">
        <v>1954</v>
      </c>
      <c r="AA12" t="s">
        <v>1688</v>
      </c>
      <c r="AB12" t="s">
        <v>1145</v>
      </c>
      <c r="AC12" t="s">
        <v>973</v>
      </c>
      <c r="AD12" t="s">
        <v>1339</v>
      </c>
      <c r="AE12" t="s">
        <v>1339</v>
      </c>
      <c r="AF12" t="s">
        <v>951</v>
      </c>
      <c r="AG12" t="s">
        <v>2</v>
      </c>
      <c r="AH12" t="s">
        <v>973</v>
      </c>
      <c r="AI12" t="s">
        <v>950</v>
      </c>
      <c r="AJ12" t="s">
        <v>950</v>
      </c>
      <c r="AK12" t="s">
        <v>1194</v>
      </c>
      <c r="AL12" t="s">
        <v>180</v>
      </c>
      <c r="AM12" t="s">
        <v>1195</v>
      </c>
      <c r="AN12" t="s">
        <v>1498</v>
      </c>
      <c r="AO12" t="s">
        <v>951</v>
      </c>
      <c r="AP12" t="s">
        <v>499</v>
      </c>
    </row>
    <row r="13" spans="1:42" x14ac:dyDescent="0.2">
      <c r="A13" t="s">
        <v>799</v>
      </c>
      <c r="B13" t="s">
        <v>1498</v>
      </c>
      <c r="C13" t="s">
        <v>1257</v>
      </c>
      <c r="D13" t="s">
        <v>663</v>
      </c>
      <c r="E13" t="s">
        <v>1196</v>
      </c>
      <c r="F13" t="s">
        <v>1552</v>
      </c>
      <c r="G13" t="s">
        <v>859</v>
      </c>
      <c r="H13" t="s">
        <v>79</v>
      </c>
      <c r="I13" t="s">
        <v>1589</v>
      </c>
      <c r="J13" t="s">
        <v>799</v>
      </c>
      <c r="K13" t="s">
        <v>859</v>
      </c>
      <c r="L13" t="s">
        <v>1688</v>
      </c>
      <c r="M13" t="s">
        <v>858</v>
      </c>
      <c r="N13" t="s">
        <v>798</v>
      </c>
      <c r="O13" t="s">
        <v>1717</v>
      </c>
      <c r="P13" t="s">
        <v>924</v>
      </c>
      <c r="Q13" t="s">
        <v>1382</v>
      </c>
      <c r="R13" t="s">
        <v>289</v>
      </c>
      <c r="S13" t="s">
        <v>858</v>
      </c>
      <c r="T13" t="s">
        <v>1318</v>
      </c>
      <c r="U13" t="s">
        <v>1688</v>
      </c>
      <c r="V13" t="s">
        <v>923</v>
      </c>
      <c r="W13" t="s">
        <v>1915</v>
      </c>
      <c r="X13" t="s">
        <v>859</v>
      </c>
      <c r="Y13" t="s">
        <v>818</v>
      </c>
      <c r="Z13" t="s">
        <v>1688</v>
      </c>
      <c r="AA13" t="s">
        <v>269</v>
      </c>
      <c r="AB13" t="s">
        <v>1146</v>
      </c>
      <c r="AC13" t="s">
        <v>859</v>
      </c>
      <c r="AD13" t="s">
        <v>798</v>
      </c>
      <c r="AE13" t="s">
        <v>1954</v>
      </c>
      <c r="AF13" t="s">
        <v>819</v>
      </c>
      <c r="AG13" t="s">
        <v>1954</v>
      </c>
      <c r="AH13" t="s">
        <v>859</v>
      </c>
      <c r="AI13" t="s">
        <v>799</v>
      </c>
      <c r="AJ13" t="s">
        <v>859</v>
      </c>
      <c r="AK13" t="s">
        <v>47</v>
      </c>
      <c r="AL13" t="s">
        <v>181</v>
      </c>
      <c r="AM13" t="s">
        <v>1196</v>
      </c>
      <c r="AN13" t="s">
        <v>1195</v>
      </c>
      <c r="AO13" t="s">
        <v>819</v>
      </c>
      <c r="AP13" t="s">
        <v>500</v>
      </c>
    </row>
    <row r="14" spans="1:42" x14ac:dyDescent="0.2">
      <c r="A14" t="s">
        <v>809</v>
      </c>
      <c r="B14" t="s">
        <v>613</v>
      </c>
      <c r="C14" t="s">
        <v>395</v>
      </c>
      <c r="D14" t="s">
        <v>664</v>
      </c>
      <c r="E14" t="s">
        <v>1499</v>
      </c>
      <c r="F14" t="s">
        <v>1553</v>
      </c>
      <c r="G14" t="s">
        <v>927</v>
      </c>
      <c r="H14" t="s">
        <v>80</v>
      </c>
      <c r="I14" t="s">
        <v>1590</v>
      </c>
      <c r="J14" t="s">
        <v>809</v>
      </c>
      <c r="K14" t="s">
        <v>1825</v>
      </c>
      <c r="L14" t="s">
        <v>1689</v>
      </c>
      <c r="M14" t="s">
        <v>1094</v>
      </c>
      <c r="N14" t="s">
        <v>926</v>
      </c>
      <c r="O14" t="s">
        <v>1718</v>
      </c>
      <c r="P14" t="s">
        <v>925</v>
      </c>
      <c r="Q14" t="s">
        <v>1383</v>
      </c>
      <c r="R14" t="s">
        <v>290</v>
      </c>
      <c r="S14" t="s">
        <v>1769</v>
      </c>
      <c r="T14" t="s">
        <v>709</v>
      </c>
      <c r="U14" t="s">
        <v>579</v>
      </c>
      <c r="V14" t="s">
        <v>416</v>
      </c>
      <c r="W14" t="s">
        <v>1916</v>
      </c>
      <c r="X14" t="s">
        <v>354</v>
      </c>
      <c r="Y14" t="s">
        <v>1679</v>
      </c>
      <c r="Z14" t="s">
        <v>787</v>
      </c>
      <c r="AA14" t="s">
        <v>270</v>
      </c>
      <c r="AB14" t="s">
        <v>1147</v>
      </c>
      <c r="AC14" t="s">
        <v>138</v>
      </c>
      <c r="AD14" t="s">
        <v>602</v>
      </c>
      <c r="AE14" t="s">
        <v>1955</v>
      </c>
      <c r="AF14" t="s">
        <v>821</v>
      </c>
      <c r="AG14" t="s">
        <v>3</v>
      </c>
      <c r="AH14" t="s">
        <v>257</v>
      </c>
      <c r="AI14" t="s">
        <v>809</v>
      </c>
      <c r="AJ14" t="s">
        <v>927</v>
      </c>
      <c r="AK14" t="s">
        <v>48</v>
      </c>
      <c r="AL14" t="s">
        <v>182</v>
      </c>
      <c r="AM14" t="s">
        <v>1197</v>
      </c>
      <c r="AN14" t="s">
        <v>1861</v>
      </c>
      <c r="AO14" t="s">
        <v>741</v>
      </c>
      <c r="AP14" t="s">
        <v>501</v>
      </c>
    </row>
    <row r="15" spans="1:42" x14ac:dyDescent="0.2">
      <c r="A15" t="s">
        <v>941</v>
      </c>
      <c r="B15" t="s">
        <v>614</v>
      </c>
      <c r="C15" t="s">
        <v>1258</v>
      </c>
      <c r="D15" t="s">
        <v>665</v>
      </c>
      <c r="E15" t="s">
        <v>1500</v>
      </c>
      <c r="F15" t="s">
        <v>1554</v>
      </c>
      <c r="G15" t="s">
        <v>1340</v>
      </c>
      <c r="H15" t="s">
        <v>81</v>
      </c>
      <c r="I15" t="s">
        <v>1591</v>
      </c>
      <c r="J15" t="s">
        <v>941</v>
      </c>
      <c r="K15" t="s">
        <v>1826</v>
      </c>
      <c r="L15" t="s">
        <v>941</v>
      </c>
      <c r="M15" t="s">
        <v>941</v>
      </c>
      <c r="N15" t="s">
        <v>943</v>
      </c>
      <c r="O15" t="s">
        <v>1719</v>
      </c>
      <c r="P15" t="s">
        <v>942</v>
      </c>
      <c r="Q15" t="s">
        <v>1384</v>
      </c>
      <c r="R15" t="s">
        <v>291</v>
      </c>
      <c r="S15" t="s">
        <v>941</v>
      </c>
      <c r="T15" t="s">
        <v>710</v>
      </c>
      <c r="U15" t="s">
        <v>580</v>
      </c>
      <c r="V15" t="s">
        <v>1456</v>
      </c>
      <c r="W15" t="s">
        <v>1917</v>
      </c>
      <c r="X15" t="s">
        <v>355</v>
      </c>
      <c r="Y15" t="s">
        <v>1680</v>
      </c>
      <c r="Z15" t="s">
        <v>859</v>
      </c>
      <c r="AA15" t="s">
        <v>859</v>
      </c>
      <c r="AB15" t="s">
        <v>1148</v>
      </c>
      <c r="AC15" t="s">
        <v>139</v>
      </c>
      <c r="AD15" t="s">
        <v>859</v>
      </c>
      <c r="AE15" t="s">
        <v>859</v>
      </c>
      <c r="AF15" t="s">
        <v>944</v>
      </c>
      <c r="AG15" t="s">
        <v>4</v>
      </c>
      <c r="AH15" t="s">
        <v>1826</v>
      </c>
      <c r="AI15" t="s">
        <v>941</v>
      </c>
      <c r="AJ15" t="s">
        <v>943</v>
      </c>
      <c r="AK15" t="s">
        <v>859</v>
      </c>
      <c r="AL15" t="s">
        <v>183</v>
      </c>
      <c r="AM15" t="s">
        <v>859</v>
      </c>
      <c r="AN15" t="s">
        <v>1862</v>
      </c>
      <c r="AO15" t="s">
        <v>1678</v>
      </c>
      <c r="AP15" t="s">
        <v>502</v>
      </c>
    </row>
    <row r="18" spans="1:42" x14ac:dyDescent="0.2">
      <c r="A18" t="s">
        <v>913</v>
      </c>
      <c r="B18" t="s">
        <v>615</v>
      </c>
      <c r="C18" t="s">
        <v>1259</v>
      </c>
      <c r="D18" t="s">
        <v>666</v>
      </c>
      <c r="E18" t="s">
        <v>1195</v>
      </c>
      <c r="F18" t="s">
        <v>1555</v>
      </c>
      <c r="G18" t="s">
        <v>1341</v>
      </c>
      <c r="H18" t="s">
        <v>82</v>
      </c>
      <c r="I18" t="s">
        <v>913</v>
      </c>
      <c r="J18" t="s">
        <v>5</v>
      </c>
      <c r="K18" t="s">
        <v>1827</v>
      </c>
      <c r="L18" t="s">
        <v>1690</v>
      </c>
      <c r="M18" t="s">
        <v>1095</v>
      </c>
      <c r="N18" t="s">
        <v>913</v>
      </c>
      <c r="O18" t="s">
        <v>1720</v>
      </c>
      <c r="P18" t="s">
        <v>913</v>
      </c>
      <c r="Q18" t="s">
        <v>1385</v>
      </c>
      <c r="R18" t="s">
        <v>292</v>
      </c>
      <c r="S18" t="s">
        <v>1770</v>
      </c>
      <c r="T18" t="s">
        <v>711</v>
      </c>
      <c r="U18" t="s">
        <v>913</v>
      </c>
      <c r="V18" t="s">
        <v>1457</v>
      </c>
      <c r="W18" t="s">
        <v>1918</v>
      </c>
      <c r="X18" t="s">
        <v>356</v>
      </c>
      <c r="Y18" t="s">
        <v>1555</v>
      </c>
      <c r="Z18" t="s">
        <v>445</v>
      </c>
      <c r="AA18" t="s">
        <v>1690</v>
      </c>
      <c r="AB18" t="s">
        <v>1149</v>
      </c>
      <c r="AC18" t="s">
        <v>140</v>
      </c>
      <c r="AD18" t="s">
        <v>1457</v>
      </c>
      <c r="AE18" t="s">
        <v>1956</v>
      </c>
      <c r="AF18" t="s">
        <v>906</v>
      </c>
      <c r="AG18" t="s">
        <v>5</v>
      </c>
      <c r="AH18" t="s">
        <v>1827</v>
      </c>
      <c r="AI18" t="s">
        <v>5</v>
      </c>
      <c r="AJ18" t="s">
        <v>913</v>
      </c>
      <c r="AK18" t="s">
        <v>49</v>
      </c>
      <c r="AL18" t="s">
        <v>184</v>
      </c>
      <c r="AM18" t="s">
        <v>1198</v>
      </c>
      <c r="AN18" t="s">
        <v>1863</v>
      </c>
      <c r="AO18" t="s">
        <v>742</v>
      </c>
      <c r="AP18" t="s">
        <v>503</v>
      </c>
    </row>
    <row r="19" spans="1:42" x14ac:dyDescent="0.2">
      <c r="A19" t="s">
        <v>914</v>
      </c>
      <c r="B19" t="s">
        <v>616</v>
      </c>
      <c r="C19" t="s">
        <v>1260</v>
      </c>
      <c r="D19" t="s">
        <v>667</v>
      </c>
      <c r="E19" t="s">
        <v>1501</v>
      </c>
      <c r="F19" t="s">
        <v>1556</v>
      </c>
      <c r="G19" t="s">
        <v>1342</v>
      </c>
      <c r="H19" t="s">
        <v>83</v>
      </c>
      <c r="I19" t="s">
        <v>914</v>
      </c>
      <c r="J19" t="s">
        <v>6</v>
      </c>
      <c r="K19" t="s">
        <v>1828</v>
      </c>
      <c r="L19" t="s">
        <v>1691</v>
      </c>
      <c r="M19" t="s">
        <v>1096</v>
      </c>
      <c r="N19" t="s">
        <v>914</v>
      </c>
      <c r="O19" t="s">
        <v>1721</v>
      </c>
      <c r="P19" t="s">
        <v>914</v>
      </c>
      <c r="Q19" t="s">
        <v>1386</v>
      </c>
      <c r="R19" t="s">
        <v>293</v>
      </c>
      <c r="S19" t="s">
        <v>1771</v>
      </c>
      <c r="T19" t="s">
        <v>1319</v>
      </c>
      <c r="U19" t="s">
        <v>581</v>
      </c>
      <c r="V19" t="s">
        <v>1458</v>
      </c>
      <c r="W19" t="s">
        <v>1919</v>
      </c>
      <c r="X19" t="s">
        <v>357</v>
      </c>
      <c r="Y19" t="s">
        <v>1556</v>
      </c>
      <c r="Z19" t="s">
        <v>446</v>
      </c>
      <c r="AA19" t="s">
        <v>1691</v>
      </c>
      <c r="AB19" t="s">
        <v>1150</v>
      </c>
      <c r="AC19" t="s">
        <v>141</v>
      </c>
      <c r="AD19" t="s">
        <v>1663</v>
      </c>
      <c r="AE19" t="s">
        <v>1458</v>
      </c>
      <c r="AF19" t="s">
        <v>907</v>
      </c>
      <c r="AG19" t="s">
        <v>6</v>
      </c>
      <c r="AH19" t="s">
        <v>1828</v>
      </c>
      <c r="AI19" t="s">
        <v>6</v>
      </c>
      <c r="AJ19" t="s">
        <v>914</v>
      </c>
      <c r="AK19" t="s">
        <v>50</v>
      </c>
      <c r="AL19" t="s">
        <v>185</v>
      </c>
      <c r="AM19" t="s">
        <v>1199</v>
      </c>
      <c r="AN19" t="s">
        <v>1864</v>
      </c>
      <c r="AO19" t="s">
        <v>907</v>
      </c>
      <c r="AP19" t="s">
        <v>504</v>
      </c>
    </row>
    <row r="20" spans="1:42" x14ac:dyDescent="0.2">
      <c r="A20" t="s">
        <v>915</v>
      </c>
      <c r="B20" t="s">
        <v>920</v>
      </c>
      <c r="C20" t="s">
        <v>1261</v>
      </c>
      <c r="D20" t="s">
        <v>668</v>
      </c>
      <c r="E20" t="s">
        <v>1502</v>
      </c>
      <c r="F20" t="s">
        <v>908</v>
      </c>
      <c r="G20" t="s">
        <v>1343</v>
      </c>
      <c r="H20" t="s">
        <v>84</v>
      </c>
      <c r="I20" t="s">
        <v>915</v>
      </c>
      <c r="J20" t="s">
        <v>7</v>
      </c>
      <c r="K20" t="s">
        <v>1829</v>
      </c>
      <c r="L20" t="s">
        <v>1692</v>
      </c>
      <c r="M20" t="s">
        <v>1097</v>
      </c>
      <c r="N20" t="s">
        <v>915</v>
      </c>
      <c r="O20" t="s">
        <v>1722</v>
      </c>
      <c r="P20" t="s">
        <v>915</v>
      </c>
      <c r="Q20" t="s">
        <v>1387</v>
      </c>
      <c r="R20" t="s">
        <v>294</v>
      </c>
      <c r="S20" t="s">
        <v>1772</v>
      </c>
      <c r="T20" t="s">
        <v>1320</v>
      </c>
      <c r="U20" t="s">
        <v>582</v>
      </c>
      <c r="V20" t="s">
        <v>920</v>
      </c>
      <c r="W20" t="s">
        <v>1920</v>
      </c>
      <c r="X20" t="s">
        <v>358</v>
      </c>
      <c r="Y20" t="s">
        <v>1621</v>
      </c>
      <c r="Z20" t="s">
        <v>447</v>
      </c>
      <c r="AA20" t="s">
        <v>271</v>
      </c>
      <c r="AB20" t="s">
        <v>1151</v>
      </c>
      <c r="AC20" t="s">
        <v>142</v>
      </c>
      <c r="AD20" t="s">
        <v>1664</v>
      </c>
      <c r="AE20" t="s">
        <v>920</v>
      </c>
      <c r="AF20" t="s">
        <v>908</v>
      </c>
      <c r="AG20" t="s">
        <v>7</v>
      </c>
      <c r="AH20" t="s">
        <v>258</v>
      </c>
      <c r="AI20" t="s">
        <v>1694</v>
      </c>
      <c r="AJ20" t="s">
        <v>915</v>
      </c>
      <c r="AK20" t="s">
        <v>51</v>
      </c>
      <c r="AL20" t="s">
        <v>186</v>
      </c>
      <c r="AM20" t="s">
        <v>1200</v>
      </c>
      <c r="AN20" t="s">
        <v>1865</v>
      </c>
      <c r="AO20" t="s">
        <v>908</v>
      </c>
      <c r="AP20" t="s">
        <v>505</v>
      </c>
    </row>
    <row r="21" spans="1:42" x14ac:dyDescent="0.2">
      <c r="A21" t="s">
        <v>916</v>
      </c>
      <c r="B21" t="s">
        <v>617</v>
      </c>
      <c r="C21" t="s">
        <v>396</v>
      </c>
      <c r="D21" t="s">
        <v>669</v>
      </c>
      <c r="E21" t="s">
        <v>1503</v>
      </c>
      <c r="F21" t="s">
        <v>1557</v>
      </c>
      <c r="G21" t="s">
        <v>1344</v>
      </c>
      <c r="H21" t="s">
        <v>85</v>
      </c>
      <c r="I21" t="s">
        <v>916</v>
      </c>
      <c r="J21" t="s">
        <v>721</v>
      </c>
      <c r="K21" t="s">
        <v>1830</v>
      </c>
      <c r="L21" t="s">
        <v>1693</v>
      </c>
      <c r="M21" t="s">
        <v>1098</v>
      </c>
      <c r="N21" t="s">
        <v>916</v>
      </c>
      <c r="O21" t="s">
        <v>1723</v>
      </c>
      <c r="P21" t="s">
        <v>916</v>
      </c>
      <c r="Q21" t="s">
        <v>1388</v>
      </c>
      <c r="R21" t="s">
        <v>295</v>
      </c>
      <c r="S21" t="s">
        <v>1773</v>
      </c>
      <c r="T21" t="s">
        <v>1321</v>
      </c>
      <c r="U21" t="s">
        <v>583</v>
      </c>
      <c r="V21" t="s">
        <v>1459</v>
      </c>
      <c r="W21" t="s">
        <v>1921</v>
      </c>
      <c r="X21" t="s">
        <v>359</v>
      </c>
      <c r="Y21" t="s">
        <v>1622</v>
      </c>
      <c r="Z21" t="s">
        <v>448</v>
      </c>
      <c r="AA21" t="s">
        <v>1693</v>
      </c>
      <c r="AB21" t="s">
        <v>1152</v>
      </c>
      <c r="AC21" t="s">
        <v>143</v>
      </c>
      <c r="AD21" t="s">
        <v>1665</v>
      </c>
      <c r="AE21" t="s">
        <v>1957</v>
      </c>
      <c r="AF21" t="s">
        <v>909</v>
      </c>
      <c r="AG21" t="s">
        <v>8</v>
      </c>
      <c r="AH21" t="s">
        <v>1830</v>
      </c>
      <c r="AI21" t="s">
        <v>8</v>
      </c>
      <c r="AJ21" t="s">
        <v>916</v>
      </c>
      <c r="AK21" t="s">
        <v>1693</v>
      </c>
      <c r="AL21" t="s">
        <v>187</v>
      </c>
      <c r="AM21" t="s">
        <v>1201</v>
      </c>
      <c r="AN21" t="s">
        <v>1866</v>
      </c>
      <c r="AO21" t="s">
        <v>909</v>
      </c>
      <c r="AP21" t="s">
        <v>506</v>
      </c>
    </row>
    <row r="22" spans="1:42" x14ac:dyDescent="0.2">
      <c r="A22" t="s">
        <v>917</v>
      </c>
      <c r="B22" t="s">
        <v>618</v>
      </c>
      <c r="C22" t="s">
        <v>1262</v>
      </c>
      <c r="D22" t="s">
        <v>670</v>
      </c>
      <c r="E22" t="s">
        <v>1504</v>
      </c>
      <c r="F22" t="s">
        <v>1558</v>
      </c>
      <c r="G22" t="s">
        <v>1345</v>
      </c>
      <c r="H22" t="s">
        <v>86</v>
      </c>
      <c r="I22" t="s">
        <v>917</v>
      </c>
      <c r="J22" t="s">
        <v>9</v>
      </c>
      <c r="K22" t="s">
        <v>1831</v>
      </c>
      <c r="L22" t="s">
        <v>1694</v>
      </c>
      <c r="M22" t="s">
        <v>1099</v>
      </c>
      <c r="N22" t="s">
        <v>917</v>
      </c>
      <c r="O22" t="s">
        <v>1724</v>
      </c>
      <c r="P22" t="s">
        <v>917</v>
      </c>
      <c r="Q22" t="s">
        <v>1389</v>
      </c>
      <c r="R22" t="s">
        <v>296</v>
      </c>
      <c r="S22" t="s">
        <v>1774</v>
      </c>
      <c r="T22" t="s">
        <v>1322</v>
      </c>
      <c r="U22" t="s">
        <v>584</v>
      </c>
      <c r="V22" t="s">
        <v>1460</v>
      </c>
      <c r="W22" t="s">
        <v>1922</v>
      </c>
      <c r="X22" t="s">
        <v>360</v>
      </c>
      <c r="Y22" t="s">
        <v>1623</v>
      </c>
      <c r="Z22" t="s">
        <v>449</v>
      </c>
      <c r="AA22" t="s">
        <v>272</v>
      </c>
      <c r="AB22" t="s">
        <v>1153</v>
      </c>
      <c r="AC22" t="s">
        <v>144</v>
      </c>
      <c r="AD22" t="s">
        <v>1666</v>
      </c>
      <c r="AE22" t="s">
        <v>1958</v>
      </c>
      <c r="AF22" t="s">
        <v>910</v>
      </c>
      <c r="AG22" t="s">
        <v>9</v>
      </c>
      <c r="AH22" t="s">
        <v>259</v>
      </c>
      <c r="AI22" t="s">
        <v>9</v>
      </c>
      <c r="AJ22" t="s">
        <v>917</v>
      </c>
      <c r="AK22" t="s">
        <v>1694</v>
      </c>
      <c r="AL22" t="s">
        <v>188</v>
      </c>
      <c r="AM22" t="s">
        <v>1202</v>
      </c>
      <c r="AN22" t="s">
        <v>1867</v>
      </c>
      <c r="AO22" t="s">
        <v>910</v>
      </c>
      <c r="AP22" t="s">
        <v>507</v>
      </c>
    </row>
    <row r="23" spans="1:42" x14ac:dyDescent="0.2">
      <c r="A23" t="s">
        <v>918</v>
      </c>
      <c r="B23" t="s">
        <v>619</v>
      </c>
      <c r="C23" t="s">
        <v>1263</v>
      </c>
      <c r="D23" t="s">
        <v>671</v>
      </c>
      <c r="E23" t="s">
        <v>1505</v>
      </c>
      <c r="F23" t="s">
        <v>1559</v>
      </c>
      <c r="G23" t="s">
        <v>1346</v>
      </c>
      <c r="H23" t="s">
        <v>87</v>
      </c>
      <c r="I23" t="s">
        <v>918</v>
      </c>
      <c r="J23" t="s">
        <v>10</v>
      </c>
      <c r="K23" t="s">
        <v>1832</v>
      </c>
      <c r="L23" t="s">
        <v>1695</v>
      </c>
      <c r="M23" t="s">
        <v>1100</v>
      </c>
      <c r="N23" t="s">
        <v>918</v>
      </c>
      <c r="O23" t="s">
        <v>1725</v>
      </c>
      <c r="P23" t="s">
        <v>918</v>
      </c>
      <c r="Q23" t="s">
        <v>1390</v>
      </c>
      <c r="R23" t="s">
        <v>297</v>
      </c>
      <c r="S23" t="s">
        <v>1775</v>
      </c>
      <c r="T23" t="s">
        <v>1323</v>
      </c>
      <c r="U23" t="s">
        <v>585</v>
      </c>
      <c r="V23" t="s">
        <v>1461</v>
      </c>
      <c r="W23" t="s">
        <v>1923</v>
      </c>
      <c r="X23" t="s">
        <v>361</v>
      </c>
      <c r="Y23" t="s">
        <v>1559</v>
      </c>
      <c r="Z23" t="s">
        <v>450</v>
      </c>
      <c r="AA23" t="s">
        <v>1695</v>
      </c>
      <c r="AB23" t="s">
        <v>1154</v>
      </c>
      <c r="AC23" t="s">
        <v>145</v>
      </c>
      <c r="AD23" t="s">
        <v>1667</v>
      </c>
      <c r="AE23" t="s">
        <v>1959</v>
      </c>
      <c r="AF23" t="s">
        <v>911</v>
      </c>
      <c r="AG23" t="s">
        <v>10</v>
      </c>
      <c r="AH23" t="s">
        <v>260</v>
      </c>
      <c r="AI23" t="s">
        <v>10</v>
      </c>
      <c r="AJ23" t="s">
        <v>918</v>
      </c>
      <c r="AK23" t="s">
        <v>1695</v>
      </c>
      <c r="AL23" t="s">
        <v>189</v>
      </c>
      <c r="AM23" t="s">
        <v>1203</v>
      </c>
      <c r="AN23" t="s">
        <v>1868</v>
      </c>
      <c r="AO23" t="s">
        <v>911</v>
      </c>
      <c r="AP23" t="s">
        <v>508</v>
      </c>
    </row>
    <row r="24" spans="1:42" x14ac:dyDescent="0.2">
      <c r="A24" t="s">
        <v>919</v>
      </c>
      <c r="B24" t="s">
        <v>620</v>
      </c>
      <c r="C24" t="s">
        <v>1264</v>
      </c>
      <c r="D24" t="s">
        <v>672</v>
      </c>
      <c r="E24" t="s">
        <v>1506</v>
      </c>
      <c r="F24" t="s">
        <v>1560</v>
      </c>
      <c r="G24" t="s">
        <v>1347</v>
      </c>
      <c r="H24" t="s">
        <v>88</v>
      </c>
      <c r="I24" t="s">
        <v>919</v>
      </c>
      <c r="J24" t="s">
        <v>11</v>
      </c>
      <c r="K24" t="s">
        <v>1833</v>
      </c>
      <c r="L24" t="s">
        <v>1696</v>
      </c>
      <c r="M24" t="s">
        <v>1101</v>
      </c>
      <c r="N24" t="s">
        <v>919</v>
      </c>
      <c r="O24" t="s">
        <v>1726</v>
      </c>
      <c r="P24" t="s">
        <v>919</v>
      </c>
      <c r="Q24" t="s">
        <v>1391</v>
      </c>
      <c r="R24" t="s">
        <v>298</v>
      </c>
      <c r="S24" t="s">
        <v>1776</v>
      </c>
      <c r="T24" t="s">
        <v>1324</v>
      </c>
      <c r="U24" t="s">
        <v>586</v>
      </c>
      <c r="V24" t="s">
        <v>1324</v>
      </c>
      <c r="W24" t="s">
        <v>1924</v>
      </c>
      <c r="X24" t="s">
        <v>362</v>
      </c>
      <c r="Y24" t="s">
        <v>1624</v>
      </c>
      <c r="Z24" t="s">
        <v>451</v>
      </c>
      <c r="AA24" t="s">
        <v>1696</v>
      </c>
      <c r="AB24" t="s">
        <v>1155</v>
      </c>
      <c r="AC24" t="s">
        <v>1833</v>
      </c>
      <c r="AD24" t="s">
        <v>1324</v>
      </c>
      <c r="AE24" t="s">
        <v>1960</v>
      </c>
      <c r="AF24" t="s">
        <v>912</v>
      </c>
      <c r="AG24" t="s">
        <v>11</v>
      </c>
      <c r="AH24" t="s">
        <v>1833</v>
      </c>
      <c r="AI24" t="s">
        <v>423</v>
      </c>
      <c r="AJ24" t="s">
        <v>919</v>
      </c>
      <c r="AK24" t="s">
        <v>52</v>
      </c>
      <c r="AL24" t="s">
        <v>190</v>
      </c>
      <c r="AM24" t="s">
        <v>1204</v>
      </c>
      <c r="AN24" t="s">
        <v>1869</v>
      </c>
      <c r="AO24" t="s">
        <v>912</v>
      </c>
      <c r="AP24" t="s">
        <v>509</v>
      </c>
    </row>
    <row r="25" spans="1:42" x14ac:dyDescent="0.2">
      <c r="A25" t="s">
        <v>860</v>
      </c>
      <c r="B25" t="s">
        <v>860</v>
      </c>
      <c r="C25" t="s">
        <v>397</v>
      </c>
      <c r="D25" t="s">
        <v>673</v>
      </c>
      <c r="E25" t="s">
        <v>1507</v>
      </c>
      <c r="F25" t="s">
        <v>1561</v>
      </c>
      <c r="G25" t="s">
        <v>1348</v>
      </c>
      <c r="H25" t="s">
        <v>89</v>
      </c>
      <c r="I25" t="s">
        <v>860</v>
      </c>
      <c r="J25" t="s">
        <v>722</v>
      </c>
      <c r="K25" t="s">
        <v>860</v>
      </c>
      <c r="L25" t="s">
        <v>860</v>
      </c>
      <c r="M25" t="s">
        <v>860</v>
      </c>
      <c r="N25" t="s">
        <v>928</v>
      </c>
      <c r="O25" t="s">
        <v>1727</v>
      </c>
      <c r="P25" t="s">
        <v>860</v>
      </c>
      <c r="Q25" t="s">
        <v>1392</v>
      </c>
      <c r="R25" t="s">
        <v>299</v>
      </c>
      <c r="S25" t="s">
        <v>860</v>
      </c>
      <c r="T25" t="s">
        <v>860</v>
      </c>
      <c r="U25" t="s">
        <v>860</v>
      </c>
      <c r="V25" t="s">
        <v>1348</v>
      </c>
      <c r="W25" t="s">
        <v>2482</v>
      </c>
      <c r="X25" t="s">
        <v>363</v>
      </c>
      <c r="Y25" t="s">
        <v>1625</v>
      </c>
      <c r="Z25" t="s">
        <v>860</v>
      </c>
      <c r="AA25" t="s">
        <v>860</v>
      </c>
      <c r="AB25" t="s">
        <v>1156</v>
      </c>
      <c r="AC25" t="s">
        <v>146</v>
      </c>
      <c r="AD25" t="s">
        <v>860</v>
      </c>
      <c r="AE25" t="s">
        <v>1961</v>
      </c>
      <c r="AF25" t="s">
        <v>822</v>
      </c>
      <c r="AG25" t="s">
        <v>860</v>
      </c>
      <c r="AH25" t="s">
        <v>860</v>
      </c>
      <c r="AI25" t="s">
        <v>860</v>
      </c>
      <c r="AJ25" t="s">
        <v>929</v>
      </c>
      <c r="AK25" t="s">
        <v>53</v>
      </c>
      <c r="AL25" t="s">
        <v>191</v>
      </c>
      <c r="AM25" t="s">
        <v>1205</v>
      </c>
      <c r="AN25" t="s">
        <v>1870</v>
      </c>
      <c r="AO25" t="s">
        <v>743</v>
      </c>
      <c r="AP25" t="s">
        <v>510</v>
      </c>
    </row>
    <row r="26" spans="1:42" x14ac:dyDescent="0.2">
      <c r="A26" t="s">
        <v>861</v>
      </c>
      <c r="B26" t="s">
        <v>621</v>
      </c>
      <c r="C26" t="s">
        <v>398</v>
      </c>
      <c r="D26" t="s">
        <v>674</v>
      </c>
      <c r="E26" t="s">
        <v>1508</v>
      </c>
      <c r="F26" t="s">
        <v>1562</v>
      </c>
      <c r="G26" t="s">
        <v>861</v>
      </c>
      <c r="H26" t="s">
        <v>90</v>
      </c>
      <c r="I26" t="s">
        <v>861</v>
      </c>
      <c r="J26" t="s">
        <v>723</v>
      </c>
      <c r="K26" t="s">
        <v>861</v>
      </c>
      <c r="L26" t="s">
        <v>861</v>
      </c>
      <c r="M26" t="s">
        <v>861</v>
      </c>
      <c r="N26" t="s">
        <v>930</v>
      </c>
      <c r="O26" t="s">
        <v>1728</v>
      </c>
      <c r="P26" t="s">
        <v>861</v>
      </c>
      <c r="Q26" t="s">
        <v>1393</v>
      </c>
      <c r="R26" t="s">
        <v>300</v>
      </c>
      <c r="S26" t="s">
        <v>861</v>
      </c>
      <c r="T26" t="s">
        <v>712</v>
      </c>
      <c r="U26" t="s">
        <v>861</v>
      </c>
      <c r="V26" t="s">
        <v>861</v>
      </c>
      <c r="W26" t="s">
        <v>2483</v>
      </c>
      <c r="X26" t="s">
        <v>1770</v>
      </c>
      <c r="Y26" t="s">
        <v>823</v>
      </c>
      <c r="Z26" t="s">
        <v>452</v>
      </c>
      <c r="AA26" t="s">
        <v>861</v>
      </c>
      <c r="AB26" t="s">
        <v>1157</v>
      </c>
      <c r="AC26" t="s">
        <v>147</v>
      </c>
      <c r="AD26" t="s">
        <v>1508</v>
      </c>
      <c r="AE26" t="s">
        <v>861</v>
      </c>
      <c r="AF26" t="s">
        <v>823</v>
      </c>
      <c r="AG26" t="s">
        <v>861</v>
      </c>
      <c r="AH26" t="s">
        <v>861</v>
      </c>
      <c r="AI26" t="s">
        <v>861</v>
      </c>
      <c r="AJ26" t="s">
        <v>861</v>
      </c>
      <c r="AK26" t="s">
        <v>861</v>
      </c>
      <c r="AL26" t="s">
        <v>192</v>
      </c>
      <c r="AM26" t="s">
        <v>1206</v>
      </c>
      <c r="AN26" t="s">
        <v>1871</v>
      </c>
      <c r="AO26" t="s">
        <v>744</v>
      </c>
      <c r="AP26" t="s">
        <v>511</v>
      </c>
    </row>
    <row r="27" spans="1:42" x14ac:dyDescent="0.2">
      <c r="A27" t="s">
        <v>920</v>
      </c>
      <c r="B27" t="s">
        <v>920</v>
      </c>
      <c r="C27" t="s">
        <v>399</v>
      </c>
      <c r="D27" t="s">
        <v>675</v>
      </c>
      <c r="E27" t="s">
        <v>920</v>
      </c>
      <c r="F27" t="s">
        <v>1563</v>
      </c>
      <c r="G27" t="s">
        <v>920</v>
      </c>
      <c r="H27" t="s">
        <v>91</v>
      </c>
      <c r="I27" t="s">
        <v>920</v>
      </c>
      <c r="J27" t="s">
        <v>724</v>
      </c>
      <c r="K27" t="s">
        <v>920</v>
      </c>
      <c r="L27" t="s">
        <v>920</v>
      </c>
      <c r="M27" t="s">
        <v>1102</v>
      </c>
      <c r="N27" t="s">
        <v>932</v>
      </c>
      <c r="O27" t="s">
        <v>1729</v>
      </c>
      <c r="P27" t="s">
        <v>931</v>
      </c>
      <c r="Q27" t="s">
        <v>1394</v>
      </c>
      <c r="R27" t="s">
        <v>301</v>
      </c>
      <c r="S27" t="s">
        <v>1777</v>
      </c>
      <c r="T27" t="s">
        <v>920</v>
      </c>
      <c r="U27" t="s">
        <v>920</v>
      </c>
      <c r="V27" t="s">
        <v>920</v>
      </c>
      <c r="W27" t="s">
        <v>2484</v>
      </c>
      <c r="X27" t="s">
        <v>364</v>
      </c>
      <c r="Y27" t="s">
        <v>824</v>
      </c>
      <c r="Z27" t="s">
        <v>920</v>
      </c>
      <c r="AA27" t="s">
        <v>920</v>
      </c>
      <c r="AB27" t="s">
        <v>1158</v>
      </c>
      <c r="AC27" t="s">
        <v>920</v>
      </c>
      <c r="AD27" t="s">
        <v>920</v>
      </c>
      <c r="AE27" t="s">
        <v>920</v>
      </c>
      <c r="AF27" t="s">
        <v>824</v>
      </c>
      <c r="AG27" t="s">
        <v>920</v>
      </c>
      <c r="AH27" t="s">
        <v>920</v>
      </c>
      <c r="AI27" t="s">
        <v>920</v>
      </c>
      <c r="AJ27" t="s">
        <v>920</v>
      </c>
      <c r="AK27" t="s">
        <v>54</v>
      </c>
      <c r="AL27" t="s">
        <v>193</v>
      </c>
      <c r="AM27" t="s">
        <v>920</v>
      </c>
      <c r="AN27" t="s">
        <v>1872</v>
      </c>
      <c r="AO27" t="s">
        <v>745</v>
      </c>
      <c r="AP27" t="s">
        <v>512</v>
      </c>
    </row>
    <row r="28" spans="1:42" x14ac:dyDescent="0.2">
      <c r="A28" t="s">
        <v>862</v>
      </c>
      <c r="B28" t="s">
        <v>622</v>
      </c>
      <c r="C28" t="s">
        <v>400</v>
      </c>
      <c r="D28" t="s">
        <v>676</v>
      </c>
      <c r="E28" t="s">
        <v>862</v>
      </c>
      <c r="F28" t="s">
        <v>1564</v>
      </c>
      <c r="G28" t="s">
        <v>934</v>
      </c>
      <c r="H28" t="s">
        <v>92</v>
      </c>
      <c r="I28" t="s">
        <v>862</v>
      </c>
      <c r="J28" t="s">
        <v>725</v>
      </c>
      <c r="K28" t="s">
        <v>862</v>
      </c>
      <c r="L28" t="s">
        <v>862</v>
      </c>
      <c r="M28" t="s">
        <v>862</v>
      </c>
      <c r="N28" t="s">
        <v>933</v>
      </c>
      <c r="O28" t="s">
        <v>1730</v>
      </c>
      <c r="P28" t="s">
        <v>862</v>
      </c>
      <c r="Q28" t="s">
        <v>1395</v>
      </c>
      <c r="R28" t="s">
        <v>302</v>
      </c>
      <c r="S28" t="s">
        <v>1778</v>
      </c>
      <c r="T28" t="s">
        <v>862</v>
      </c>
      <c r="U28" t="s">
        <v>862</v>
      </c>
      <c r="V28" t="s">
        <v>862</v>
      </c>
      <c r="W28" t="s">
        <v>2485</v>
      </c>
      <c r="X28" t="s">
        <v>365</v>
      </c>
      <c r="Y28" t="s">
        <v>825</v>
      </c>
      <c r="Z28" t="s">
        <v>862</v>
      </c>
      <c r="AA28" t="s">
        <v>862</v>
      </c>
      <c r="AB28" t="s">
        <v>1159</v>
      </c>
      <c r="AC28" t="s">
        <v>148</v>
      </c>
      <c r="AD28" t="s">
        <v>934</v>
      </c>
      <c r="AE28" t="s">
        <v>862</v>
      </c>
      <c r="AF28" t="s">
        <v>825</v>
      </c>
      <c r="AG28" t="s">
        <v>862</v>
      </c>
      <c r="AH28" t="s">
        <v>862</v>
      </c>
      <c r="AI28" t="s">
        <v>862</v>
      </c>
      <c r="AJ28" t="s">
        <v>934</v>
      </c>
      <c r="AK28" t="s">
        <v>55</v>
      </c>
      <c r="AL28" t="s">
        <v>194</v>
      </c>
      <c r="AM28" t="s">
        <v>1207</v>
      </c>
      <c r="AN28" t="s">
        <v>1873</v>
      </c>
      <c r="AO28" t="s">
        <v>746</v>
      </c>
      <c r="AP28" t="s">
        <v>513</v>
      </c>
    </row>
    <row r="29" spans="1:42" x14ac:dyDescent="0.2">
      <c r="A29" t="s">
        <v>921</v>
      </c>
      <c r="B29" t="s">
        <v>1697</v>
      </c>
      <c r="C29" t="s">
        <v>401</v>
      </c>
      <c r="D29" t="s">
        <v>677</v>
      </c>
      <c r="E29" t="s">
        <v>921</v>
      </c>
      <c r="F29" t="s">
        <v>826</v>
      </c>
      <c r="G29" t="s">
        <v>863</v>
      </c>
      <c r="H29" t="s">
        <v>93</v>
      </c>
      <c r="I29" t="s">
        <v>921</v>
      </c>
      <c r="J29" t="s">
        <v>726</v>
      </c>
      <c r="K29" t="s">
        <v>921</v>
      </c>
      <c r="L29" t="s">
        <v>1697</v>
      </c>
      <c r="M29" t="s">
        <v>1103</v>
      </c>
      <c r="N29" t="s">
        <v>863</v>
      </c>
      <c r="O29" t="s">
        <v>1731</v>
      </c>
      <c r="P29" t="s">
        <v>863</v>
      </c>
      <c r="Q29" t="s">
        <v>1396</v>
      </c>
      <c r="R29" t="s">
        <v>303</v>
      </c>
      <c r="S29" t="s">
        <v>1779</v>
      </c>
      <c r="T29" t="s">
        <v>1103</v>
      </c>
      <c r="U29" t="s">
        <v>587</v>
      </c>
      <c r="V29" t="s">
        <v>1462</v>
      </c>
      <c r="W29" t="s">
        <v>2486</v>
      </c>
      <c r="X29" t="s">
        <v>366</v>
      </c>
      <c r="Y29" t="s">
        <v>1626</v>
      </c>
      <c r="Z29" t="s">
        <v>453</v>
      </c>
      <c r="AA29" t="s">
        <v>863</v>
      </c>
      <c r="AB29" t="s">
        <v>1160</v>
      </c>
      <c r="AC29" t="s">
        <v>1697</v>
      </c>
      <c r="AD29" t="s">
        <v>863</v>
      </c>
      <c r="AE29" t="s">
        <v>863</v>
      </c>
      <c r="AF29" t="s">
        <v>826</v>
      </c>
      <c r="AG29" t="s">
        <v>1697</v>
      </c>
      <c r="AH29" t="s">
        <v>1779</v>
      </c>
      <c r="AI29" t="s">
        <v>1697</v>
      </c>
      <c r="AJ29" t="s">
        <v>921</v>
      </c>
      <c r="AK29" t="s">
        <v>56</v>
      </c>
      <c r="AL29" t="s">
        <v>195</v>
      </c>
      <c r="AM29" t="s">
        <v>921</v>
      </c>
      <c r="AN29" t="s">
        <v>1874</v>
      </c>
      <c r="AO29" t="s">
        <v>747</v>
      </c>
      <c r="AP29" t="s">
        <v>514</v>
      </c>
    </row>
    <row r="30" spans="1:42" x14ac:dyDescent="0.2">
      <c r="A30" t="s">
        <v>864</v>
      </c>
      <c r="B30" t="s">
        <v>623</v>
      </c>
      <c r="C30" t="s">
        <v>402</v>
      </c>
      <c r="D30" t="s">
        <v>678</v>
      </c>
      <c r="E30" t="s">
        <v>1509</v>
      </c>
      <c r="F30" t="s">
        <v>1565</v>
      </c>
      <c r="G30" t="s">
        <v>864</v>
      </c>
      <c r="H30" t="s">
        <v>94</v>
      </c>
      <c r="I30" t="s">
        <v>864</v>
      </c>
      <c r="J30" t="s">
        <v>150</v>
      </c>
      <c r="K30" t="s">
        <v>1834</v>
      </c>
      <c r="L30" t="s">
        <v>864</v>
      </c>
      <c r="M30" t="s">
        <v>864</v>
      </c>
      <c r="N30" t="s">
        <v>871</v>
      </c>
      <c r="O30" t="s">
        <v>1732</v>
      </c>
      <c r="P30" t="s">
        <v>864</v>
      </c>
      <c r="Q30" t="s">
        <v>1397</v>
      </c>
      <c r="R30" t="s">
        <v>304</v>
      </c>
      <c r="S30" t="s">
        <v>1780</v>
      </c>
      <c r="T30" t="s">
        <v>864</v>
      </c>
      <c r="U30" t="s">
        <v>1780</v>
      </c>
      <c r="V30" t="s">
        <v>1463</v>
      </c>
      <c r="W30" t="s">
        <v>2487</v>
      </c>
      <c r="X30" t="s">
        <v>367</v>
      </c>
      <c r="Y30" t="s">
        <v>1627</v>
      </c>
      <c r="Z30" t="s">
        <v>454</v>
      </c>
      <c r="AA30" t="s">
        <v>864</v>
      </c>
      <c r="AB30" t="s">
        <v>1161</v>
      </c>
      <c r="AC30" t="s">
        <v>149</v>
      </c>
      <c r="AD30" t="s">
        <v>864</v>
      </c>
      <c r="AE30" t="s">
        <v>1962</v>
      </c>
      <c r="AF30" t="s">
        <v>827</v>
      </c>
      <c r="AG30" t="s">
        <v>864</v>
      </c>
      <c r="AH30" t="s">
        <v>1780</v>
      </c>
      <c r="AI30" t="s">
        <v>864</v>
      </c>
      <c r="AJ30" t="s">
        <v>864</v>
      </c>
      <c r="AK30" t="s">
        <v>57</v>
      </c>
      <c r="AL30" t="s">
        <v>196</v>
      </c>
      <c r="AM30" t="s">
        <v>1208</v>
      </c>
      <c r="AN30" t="s">
        <v>1875</v>
      </c>
      <c r="AO30" t="s">
        <v>748</v>
      </c>
      <c r="AP30" t="s">
        <v>515</v>
      </c>
    </row>
    <row r="31" spans="1:42" x14ac:dyDescent="0.2">
      <c r="A31" t="s">
        <v>865</v>
      </c>
      <c r="B31" t="s">
        <v>624</v>
      </c>
      <c r="C31" t="s">
        <v>403</v>
      </c>
      <c r="D31" t="s">
        <v>679</v>
      </c>
      <c r="E31" t="s">
        <v>1510</v>
      </c>
      <c r="F31" t="s">
        <v>1566</v>
      </c>
      <c r="G31" t="s">
        <v>865</v>
      </c>
      <c r="H31" t="s">
        <v>95</v>
      </c>
      <c r="I31" t="s">
        <v>865</v>
      </c>
      <c r="J31" t="s">
        <v>727</v>
      </c>
      <c r="K31" t="s">
        <v>1835</v>
      </c>
      <c r="L31" t="s">
        <v>865</v>
      </c>
      <c r="M31" t="s">
        <v>865</v>
      </c>
      <c r="N31" t="s">
        <v>872</v>
      </c>
      <c r="O31" t="s">
        <v>1733</v>
      </c>
      <c r="P31" t="s">
        <v>865</v>
      </c>
      <c r="Q31" t="s">
        <v>1398</v>
      </c>
      <c r="R31" t="s">
        <v>305</v>
      </c>
      <c r="S31" t="s">
        <v>1781</v>
      </c>
      <c r="T31" t="s">
        <v>865</v>
      </c>
      <c r="U31" t="s">
        <v>1781</v>
      </c>
      <c r="V31" t="s">
        <v>1464</v>
      </c>
      <c r="W31" t="s">
        <v>2488</v>
      </c>
      <c r="X31" t="s">
        <v>368</v>
      </c>
      <c r="Y31" t="s">
        <v>1628</v>
      </c>
      <c r="Z31" t="s">
        <v>455</v>
      </c>
      <c r="AA31" t="s">
        <v>865</v>
      </c>
      <c r="AB31" t="s">
        <v>1162</v>
      </c>
      <c r="AC31" t="s">
        <v>150</v>
      </c>
      <c r="AD31" t="s">
        <v>865</v>
      </c>
      <c r="AE31" t="s">
        <v>1963</v>
      </c>
      <c r="AF31" t="s">
        <v>828</v>
      </c>
      <c r="AG31" t="s">
        <v>865</v>
      </c>
      <c r="AH31" t="s">
        <v>1781</v>
      </c>
      <c r="AI31" t="s">
        <v>865</v>
      </c>
      <c r="AJ31" t="s">
        <v>865</v>
      </c>
      <c r="AK31" t="s">
        <v>58</v>
      </c>
      <c r="AL31" t="s">
        <v>197</v>
      </c>
      <c r="AM31" t="s">
        <v>1209</v>
      </c>
      <c r="AN31" t="s">
        <v>1876</v>
      </c>
      <c r="AO31" t="s">
        <v>749</v>
      </c>
      <c r="AP31" t="s">
        <v>516</v>
      </c>
    </row>
    <row r="32" spans="1:42" x14ac:dyDescent="0.2">
      <c r="A32" t="s">
        <v>866</v>
      </c>
      <c r="B32" t="s">
        <v>625</v>
      </c>
      <c r="C32" t="s">
        <v>404</v>
      </c>
      <c r="D32" t="s">
        <v>680</v>
      </c>
      <c r="E32" t="s">
        <v>1511</v>
      </c>
      <c r="F32" t="s">
        <v>1567</v>
      </c>
      <c r="G32" t="s">
        <v>936</v>
      </c>
      <c r="H32" t="s">
        <v>96</v>
      </c>
      <c r="I32" t="s">
        <v>866</v>
      </c>
      <c r="J32" t="s">
        <v>728</v>
      </c>
      <c r="K32" t="s">
        <v>866</v>
      </c>
      <c r="L32" t="s">
        <v>866</v>
      </c>
      <c r="M32" t="s">
        <v>866</v>
      </c>
      <c r="N32" t="s">
        <v>935</v>
      </c>
      <c r="O32" t="s">
        <v>1734</v>
      </c>
      <c r="P32" t="s">
        <v>866</v>
      </c>
      <c r="Q32" t="s">
        <v>1399</v>
      </c>
      <c r="R32" t="s">
        <v>306</v>
      </c>
      <c r="S32" t="s">
        <v>866</v>
      </c>
      <c r="T32" t="s">
        <v>713</v>
      </c>
      <c r="U32" t="s">
        <v>588</v>
      </c>
      <c r="V32" t="s">
        <v>936</v>
      </c>
      <c r="W32" t="s">
        <v>2489</v>
      </c>
      <c r="X32" t="s">
        <v>369</v>
      </c>
      <c r="Y32" t="s">
        <v>829</v>
      </c>
      <c r="Z32" t="s">
        <v>456</v>
      </c>
      <c r="AA32" t="s">
        <v>866</v>
      </c>
      <c r="AB32" t="s">
        <v>1163</v>
      </c>
      <c r="AC32" t="s">
        <v>151</v>
      </c>
      <c r="AD32" t="s">
        <v>936</v>
      </c>
      <c r="AE32" t="s">
        <v>866</v>
      </c>
      <c r="AF32" t="s">
        <v>829</v>
      </c>
      <c r="AG32" t="s">
        <v>12</v>
      </c>
      <c r="AH32" t="s">
        <v>866</v>
      </c>
      <c r="AI32" t="s">
        <v>12</v>
      </c>
      <c r="AJ32" t="s">
        <v>936</v>
      </c>
      <c r="AK32" t="s">
        <v>866</v>
      </c>
      <c r="AL32" t="s">
        <v>198</v>
      </c>
      <c r="AM32" t="s">
        <v>1210</v>
      </c>
      <c r="AN32" t="s">
        <v>1877</v>
      </c>
      <c r="AO32" t="s">
        <v>750</v>
      </c>
      <c r="AP32" t="s">
        <v>517</v>
      </c>
    </row>
    <row r="33" spans="1:42" x14ac:dyDescent="0.2">
      <c r="A33" t="s">
        <v>867</v>
      </c>
      <c r="B33" t="s">
        <v>626</v>
      </c>
      <c r="C33" t="s">
        <v>405</v>
      </c>
      <c r="D33" t="s">
        <v>681</v>
      </c>
      <c r="E33" t="s">
        <v>1319</v>
      </c>
      <c r="F33" t="s">
        <v>1568</v>
      </c>
      <c r="G33" t="s">
        <v>1349</v>
      </c>
      <c r="H33" t="s">
        <v>97</v>
      </c>
      <c r="I33" t="s">
        <v>867</v>
      </c>
      <c r="J33" t="s">
        <v>729</v>
      </c>
      <c r="K33" t="s">
        <v>867</v>
      </c>
      <c r="L33" t="s">
        <v>867</v>
      </c>
      <c r="M33" t="s">
        <v>867</v>
      </c>
      <c r="N33" t="s">
        <v>937</v>
      </c>
      <c r="O33" t="s">
        <v>1735</v>
      </c>
      <c r="P33" t="s">
        <v>867</v>
      </c>
      <c r="Q33" t="s">
        <v>1400</v>
      </c>
      <c r="R33" t="s">
        <v>307</v>
      </c>
      <c r="S33" t="s">
        <v>1782</v>
      </c>
      <c r="T33" t="s">
        <v>867</v>
      </c>
      <c r="U33" t="s">
        <v>867</v>
      </c>
      <c r="V33" t="s">
        <v>1349</v>
      </c>
      <c r="W33" t="s">
        <v>2490</v>
      </c>
      <c r="X33" t="s">
        <v>370</v>
      </c>
      <c r="Y33" t="s">
        <v>1629</v>
      </c>
      <c r="Z33" t="s">
        <v>1349</v>
      </c>
      <c r="AA33" t="s">
        <v>867</v>
      </c>
      <c r="AB33" t="s">
        <v>1164</v>
      </c>
      <c r="AC33" t="s">
        <v>152</v>
      </c>
      <c r="AD33" t="s">
        <v>1349</v>
      </c>
      <c r="AE33" t="s">
        <v>867</v>
      </c>
      <c r="AF33" t="s">
        <v>830</v>
      </c>
      <c r="AG33" t="s">
        <v>867</v>
      </c>
      <c r="AH33" t="s">
        <v>867</v>
      </c>
      <c r="AI33" t="s">
        <v>867</v>
      </c>
      <c r="AJ33" t="s">
        <v>867</v>
      </c>
      <c r="AK33" t="s">
        <v>59</v>
      </c>
      <c r="AL33" t="s">
        <v>199</v>
      </c>
      <c r="AM33" t="s">
        <v>1211</v>
      </c>
      <c r="AN33" t="s">
        <v>1878</v>
      </c>
      <c r="AO33" t="s">
        <v>751</v>
      </c>
      <c r="AP33" t="s">
        <v>518</v>
      </c>
    </row>
    <row r="34" spans="1:42" x14ac:dyDescent="0.2">
      <c r="A34" t="s">
        <v>868</v>
      </c>
      <c r="B34" t="s">
        <v>627</v>
      </c>
      <c r="C34" t="s">
        <v>406</v>
      </c>
      <c r="D34" t="s">
        <v>682</v>
      </c>
      <c r="E34" t="s">
        <v>938</v>
      </c>
      <c r="F34" t="s">
        <v>1569</v>
      </c>
      <c r="G34" t="s">
        <v>868</v>
      </c>
      <c r="H34" t="s">
        <v>98</v>
      </c>
      <c r="I34" t="s">
        <v>868</v>
      </c>
      <c r="J34" t="s">
        <v>154</v>
      </c>
      <c r="K34" t="s">
        <v>868</v>
      </c>
      <c r="L34" t="s">
        <v>938</v>
      </c>
      <c r="M34" t="s">
        <v>938</v>
      </c>
      <c r="N34" t="s">
        <v>868</v>
      </c>
      <c r="O34" t="s">
        <v>1736</v>
      </c>
      <c r="P34" t="s">
        <v>938</v>
      </c>
      <c r="Q34" t="s">
        <v>1401</v>
      </c>
      <c r="R34" t="s">
        <v>308</v>
      </c>
      <c r="S34" t="s">
        <v>938</v>
      </c>
      <c r="T34" t="s">
        <v>938</v>
      </c>
      <c r="U34" t="s">
        <v>938</v>
      </c>
      <c r="V34" t="s">
        <v>1465</v>
      </c>
      <c r="W34" t="s">
        <v>2491</v>
      </c>
      <c r="X34" t="s">
        <v>371</v>
      </c>
      <c r="Y34" t="s">
        <v>831</v>
      </c>
      <c r="Z34" t="s">
        <v>1465</v>
      </c>
      <c r="AA34" t="s">
        <v>938</v>
      </c>
      <c r="AB34" t="s">
        <v>1165</v>
      </c>
      <c r="AC34" t="s">
        <v>153</v>
      </c>
      <c r="AD34" t="s">
        <v>1668</v>
      </c>
      <c r="AE34" t="s">
        <v>868</v>
      </c>
      <c r="AF34" t="s">
        <v>831</v>
      </c>
      <c r="AG34" t="s">
        <v>938</v>
      </c>
      <c r="AH34" t="s">
        <v>938</v>
      </c>
      <c r="AI34" t="s">
        <v>868</v>
      </c>
      <c r="AJ34" t="s">
        <v>868</v>
      </c>
      <c r="AK34" t="s">
        <v>60</v>
      </c>
      <c r="AL34" t="s">
        <v>200</v>
      </c>
      <c r="AM34" t="s">
        <v>1212</v>
      </c>
      <c r="AN34" t="s">
        <v>1879</v>
      </c>
      <c r="AO34" t="s">
        <v>752</v>
      </c>
      <c r="AP34" t="s">
        <v>519</v>
      </c>
    </row>
    <row r="35" spans="1:42" x14ac:dyDescent="0.2">
      <c r="A35" t="s">
        <v>869</v>
      </c>
      <c r="B35" t="s">
        <v>628</v>
      </c>
      <c r="C35" t="s">
        <v>407</v>
      </c>
      <c r="D35" t="s">
        <v>683</v>
      </c>
      <c r="E35" t="s">
        <v>1512</v>
      </c>
      <c r="F35" t="s">
        <v>1570</v>
      </c>
      <c r="G35" t="s">
        <v>869</v>
      </c>
      <c r="H35" t="s">
        <v>99</v>
      </c>
      <c r="I35" t="s">
        <v>869</v>
      </c>
      <c r="J35" t="s">
        <v>730</v>
      </c>
      <c r="K35" t="s">
        <v>869</v>
      </c>
      <c r="L35" t="s">
        <v>869</v>
      </c>
      <c r="M35" t="s">
        <v>869</v>
      </c>
      <c r="N35" t="s">
        <v>869</v>
      </c>
      <c r="O35" t="s">
        <v>1737</v>
      </c>
      <c r="P35" t="s">
        <v>869</v>
      </c>
      <c r="Q35" t="s">
        <v>1402</v>
      </c>
      <c r="R35" t="s">
        <v>309</v>
      </c>
      <c r="S35" t="s">
        <v>869</v>
      </c>
      <c r="T35" t="s">
        <v>714</v>
      </c>
      <c r="U35" t="s">
        <v>589</v>
      </c>
      <c r="V35" t="s">
        <v>869</v>
      </c>
      <c r="W35" t="s">
        <v>2492</v>
      </c>
      <c r="X35" t="s">
        <v>372</v>
      </c>
      <c r="Y35" t="s">
        <v>1630</v>
      </c>
      <c r="Z35" t="s">
        <v>869</v>
      </c>
      <c r="AA35" t="s">
        <v>869</v>
      </c>
      <c r="AB35" t="s">
        <v>1166</v>
      </c>
      <c r="AC35" t="s">
        <v>154</v>
      </c>
      <c r="AD35" t="s">
        <v>869</v>
      </c>
      <c r="AE35" t="s">
        <v>1964</v>
      </c>
      <c r="AF35" t="s">
        <v>832</v>
      </c>
      <c r="AG35" t="s">
        <v>869</v>
      </c>
      <c r="AH35" t="s">
        <v>869</v>
      </c>
      <c r="AI35" t="s">
        <v>869</v>
      </c>
      <c r="AJ35" t="s">
        <v>869</v>
      </c>
      <c r="AK35" t="s">
        <v>61</v>
      </c>
      <c r="AL35" t="s">
        <v>201</v>
      </c>
      <c r="AM35" t="s">
        <v>1213</v>
      </c>
      <c r="AN35" t="s">
        <v>1880</v>
      </c>
      <c r="AO35" t="s">
        <v>753</v>
      </c>
      <c r="AP35" t="s">
        <v>520</v>
      </c>
    </row>
    <row r="36" spans="1:42" x14ac:dyDescent="0.2">
      <c r="A36" t="s">
        <v>922</v>
      </c>
      <c r="B36" t="s">
        <v>629</v>
      </c>
      <c r="C36" t="s">
        <v>408</v>
      </c>
      <c r="D36" t="s">
        <v>684</v>
      </c>
      <c r="E36" t="s">
        <v>1513</v>
      </c>
      <c r="F36" t="s">
        <v>1571</v>
      </c>
      <c r="G36" t="s">
        <v>1350</v>
      </c>
      <c r="H36" t="s">
        <v>100</v>
      </c>
      <c r="I36" t="s">
        <v>922</v>
      </c>
      <c r="J36" t="s">
        <v>731</v>
      </c>
      <c r="K36" t="s">
        <v>922</v>
      </c>
      <c r="L36" t="s">
        <v>922</v>
      </c>
      <c r="M36" t="s">
        <v>922</v>
      </c>
      <c r="N36" t="s">
        <v>939</v>
      </c>
      <c r="O36" t="s">
        <v>1738</v>
      </c>
      <c r="P36" t="s">
        <v>870</v>
      </c>
      <c r="Q36" t="s">
        <v>1403</v>
      </c>
      <c r="R36" t="s">
        <v>310</v>
      </c>
      <c r="S36" t="s">
        <v>922</v>
      </c>
      <c r="T36" t="s">
        <v>1350</v>
      </c>
      <c r="U36" t="s">
        <v>1350</v>
      </c>
      <c r="V36" t="s">
        <v>940</v>
      </c>
      <c r="W36" t="s">
        <v>2493</v>
      </c>
      <c r="X36" t="s">
        <v>373</v>
      </c>
      <c r="Y36" t="s">
        <v>833</v>
      </c>
      <c r="Z36" t="s">
        <v>457</v>
      </c>
      <c r="AA36" t="s">
        <v>1350</v>
      </c>
      <c r="AB36" t="s">
        <v>1167</v>
      </c>
      <c r="AC36" t="s">
        <v>155</v>
      </c>
      <c r="AD36" t="s">
        <v>870</v>
      </c>
      <c r="AE36" t="s">
        <v>922</v>
      </c>
      <c r="AF36" t="s">
        <v>833</v>
      </c>
      <c r="AG36" t="s">
        <v>922</v>
      </c>
      <c r="AH36" t="s">
        <v>922</v>
      </c>
      <c r="AI36" t="s">
        <v>922</v>
      </c>
      <c r="AJ36" t="s">
        <v>940</v>
      </c>
      <c r="AK36" t="s">
        <v>62</v>
      </c>
      <c r="AL36" t="s">
        <v>202</v>
      </c>
      <c r="AM36" t="s">
        <v>1214</v>
      </c>
      <c r="AN36" t="s">
        <v>1881</v>
      </c>
      <c r="AO36" t="s">
        <v>754</v>
      </c>
      <c r="AP36" t="s">
        <v>521</v>
      </c>
    </row>
    <row r="37" spans="1:42" x14ac:dyDescent="0.2">
      <c r="A37" t="s">
        <v>802</v>
      </c>
      <c r="B37" t="s">
        <v>630</v>
      </c>
      <c r="C37" t="s">
        <v>409</v>
      </c>
      <c r="D37" t="s">
        <v>685</v>
      </c>
      <c r="E37" t="s">
        <v>1514</v>
      </c>
      <c r="F37" t="s">
        <v>1572</v>
      </c>
      <c r="G37" t="s">
        <v>1351</v>
      </c>
      <c r="H37" t="s">
        <v>101</v>
      </c>
      <c r="I37" t="s">
        <v>1592</v>
      </c>
      <c r="J37" t="s">
        <v>802</v>
      </c>
      <c r="K37" t="s">
        <v>802</v>
      </c>
      <c r="L37" t="s">
        <v>1698</v>
      </c>
      <c r="M37" t="s">
        <v>802</v>
      </c>
      <c r="N37" t="s">
        <v>948</v>
      </c>
      <c r="O37" t="s">
        <v>1739</v>
      </c>
      <c r="P37" t="s">
        <v>802</v>
      </c>
      <c r="Q37" t="s">
        <v>1404</v>
      </c>
      <c r="R37" t="s">
        <v>311</v>
      </c>
      <c r="S37" t="s">
        <v>1783</v>
      </c>
      <c r="T37" t="s">
        <v>715</v>
      </c>
      <c r="U37" t="s">
        <v>590</v>
      </c>
      <c r="V37" t="s">
        <v>1466</v>
      </c>
      <c r="W37" t="s">
        <v>1925</v>
      </c>
      <c r="X37" t="s">
        <v>1514</v>
      </c>
      <c r="Y37" t="s">
        <v>1631</v>
      </c>
      <c r="Z37" t="s">
        <v>715</v>
      </c>
      <c r="AA37" t="s">
        <v>63</v>
      </c>
      <c r="AB37" t="s">
        <v>1168</v>
      </c>
      <c r="AC37" t="s">
        <v>156</v>
      </c>
      <c r="AD37" t="s">
        <v>603</v>
      </c>
      <c r="AE37" t="s">
        <v>1965</v>
      </c>
      <c r="AF37" t="s">
        <v>834</v>
      </c>
      <c r="AG37" t="s">
        <v>13</v>
      </c>
      <c r="AH37" t="s">
        <v>261</v>
      </c>
      <c r="AI37" t="s">
        <v>424</v>
      </c>
      <c r="AJ37" t="s">
        <v>949</v>
      </c>
      <c r="AK37" t="s">
        <v>63</v>
      </c>
      <c r="AL37" t="s">
        <v>203</v>
      </c>
      <c r="AM37" t="s">
        <v>1215</v>
      </c>
      <c r="AN37" t="s">
        <v>1882</v>
      </c>
      <c r="AO37" t="s">
        <v>834</v>
      </c>
      <c r="AP37" t="s">
        <v>522</v>
      </c>
    </row>
    <row r="38" spans="1:42" x14ac:dyDescent="0.2">
      <c r="A38" t="s">
        <v>2067</v>
      </c>
      <c r="B38" t="s">
        <v>2084</v>
      </c>
      <c r="C38" t="s">
        <v>2093</v>
      </c>
      <c r="D38" t="s">
        <v>2171</v>
      </c>
      <c r="E38" t="s">
        <v>2088</v>
      </c>
      <c r="F38" t="s">
        <v>2085</v>
      </c>
      <c r="G38" t="s">
        <v>2075</v>
      </c>
      <c r="H38" t="s">
        <v>2095</v>
      </c>
      <c r="I38" t="s">
        <v>2172</v>
      </c>
      <c r="J38" t="s">
        <v>2082</v>
      </c>
      <c r="K38" t="s">
        <v>2079</v>
      </c>
      <c r="L38" t="s">
        <v>2069</v>
      </c>
      <c r="M38" t="s">
        <v>2077</v>
      </c>
      <c r="N38" t="s">
        <v>2068</v>
      </c>
      <c r="O38" t="s">
        <v>2091</v>
      </c>
      <c r="P38" t="s">
        <v>2069</v>
      </c>
      <c r="Q38" t="s">
        <v>2173</v>
      </c>
      <c r="R38" t="s">
        <v>2092</v>
      </c>
      <c r="S38" t="s">
        <v>2076</v>
      </c>
      <c r="T38" t="s">
        <v>2090</v>
      </c>
      <c r="U38" t="s">
        <v>2067</v>
      </c>
      <c r="V38" t="s">
        <v>2071</v>
      </c>
      <c r="W38" t="s">
        <v>2174</v>
      </c>
      <c r="X38" t="s">
        <v>2074</v>
      </c>
      <c r="Y38" t="s">
        <v>2175</v>
      </c>
      <c r="Z38" t="s">
        <v>2078</v>
      </c>
      <c r="AA38" t="s">
        <v>2081</v>
      </c>
      <c r="AB38" t="s">
        <v>2094</v>
      </c>
      <c r="AC38" t="s">
        <v>2073</v>
      </c>
      <c r="AD38" t="s">
        <v>2072</v>
      </c>
      <c r="AE38" t="s">
        <v>2176</v>
      </c>
      <c r="AF38" t="s">
        <v>2086</v>
      </c>
      <c r="AG38" t="s">
        <v>2083</v>
      </c>
      <c r="AH38" t="s">
        <v>2177</v>
      </c>
      <c r="AI38" t="s">
        <v>2080</v>
      </c>
      <c r="AJ38" t="s">
        <v>2070</v>
      </c>
      <c r="AK38" t="s">
        <v>2069</v>
      </c>
      <c r="AL38" t="s">
        <v>2178</v>
      </c>
      <c r="AM38" t="s">
        <v>2089</v>
      </c>
      <c r="AN38" t="s">
        <v>2067</v>
      </c>
      <c r="AO38" t="s">
        <v>2087</v>
      </c>
      <c r="AP38" t="s">
        <v>2179</v>
      </c>
    </row>
    <row r="39" spans="1:42" x14ac:dyDescent="0.2">
      <c r="A39" t="s">
        <v>952</v>
      </c>
      <c r="B39" t="s">
        <v>2180</v>
      </c>
      <c r="C39" t="s">
        <v>1265</v>
      </c>
      <c r="D39" t="s">
        <v>686</v>
      </c>
      <c r="E39" t="s">
        <v>1216</v>
      </c>
      <c r="F39" t="s">
        <v>1573</v>
      </c>
      <c r="G39" t="s">
        <v>1352</v>
      </c>
      <c r="H39" t="s">
        <v>1593</v>
      </c>
      <c r="I39" t="s">
        <v>1593</v>
      </c>
      <c r="J39" t="s">
        <v>14</v>
      </c>
      <c r="K39" t="s">
        <v>1042</v>
      </c>
      <c r="L39" t="s">
        <v>952</v>
      </c>
      <c r="M39" t="s">
        <v>952</v>
      </c>
      <c r="N39" t="s">
        <v>1026</v>
      </c>
      <c r="O39" t="s">
        <v>952</v>
      </c>
      <c r="P39" t="s">
        <v>1042</v>
      </c>
      <c r="Q39" t="s">
        <v>1405</v>
      </c>
      <c r="R39" t="s">
        <v>312</v>
      </c>
      <c r="S39" t="s">
        <v>1784</v>
      </c>
      <c r="T39" t="s">
        <v>14</v>
      </c>
      <c r="U39" t="s">
        <v>2181</v>
      </c>
      <c r="V39" t="s">
        <v>1467</v>
      </c>
      <c r="W39" t="s">
        <v>1926</v>
      </c>
      <c r="X39" t="s">
        <v>1216</v>
      </c>
      <c r="Y39" t="s">
        <v>1573</v>
      </c>
      <c r="Z39" t="s">
        <v>458</v>
      </c>
      <c r="AA39" t="s">
        <v>952</v>
      </c>
      <c r="AB39" t="s">
        <v>1169</v>
      </c>
      <c r="AC39" t="s">
        <v>157</v>
      </c>
      <c r="AD39" t="s">
        <v>1012</v>
      </c>
      <c r="AE39" t="s">
        <v>1966</v>
      </c>
      <c r="AF39" t="s">
        <v>1064</v>
      </c>
      <c r="AG39" t="s">
        <v>1573</v>
      </c>
      <c r="AH39" t="s">
        <v>1042</v>
      </c>
      <c r="AI39" t="s">
        <v>2181</v>
      </c>
      <c r="AJ39" t="s">
        <v>1012</v>
      </c>
      <c r="AK39" t="s">
        <v>1042</v>
      </c>
      <c r="AL39" t="s">
        <v>2182</v>
      </c>
      <c r="AM39" t="s">
        <v>1216</v>
      </c>
      <c r="AN39" t="s">
        <v>952</v>
      </c>
      <c r="AO39" t="s">
        <v>1064</v>
      </c>
      <c r="AP39" t="s">
        <v>523</v>
      </c>
    </row>
    <row r="40" spans="1:42" x14ac:dyDescent="0.2">
      <c r="A40" t="s">
        <v>953</v>
      </c>
      <c r="B40" t="s">
        <v>953</v>
      </c>
      <c r="C40" t="s">
        <v>2183</v>
      </c>
      <c r="D40" t="s">
        <v>687</v>
      </c>
      <c r="E40" t="s">
        <v>1515</v>
      </c>
      <c r="F40" t="s">
        <v>1065</v>
      </c>
      <c r="G40" t="s">
        <v>1353</v>
      </c>
      <c r="H40" t="s">
        <v>102</v>
      </c>
      <c r="I40" t="s">
        <v>1594</v>
      </c>
      <c r="J40" t="s">
        <v>15</v>
      </c>
      <c r="K40" t="s">
        <v>953</v>
      </c>
      <c r="L40" t="s">
        <v>953</v>
      </c>
      <c r="M40" t="s">
        <v>953</v>
      </c>
      <c r="N40" t="s">
        <v>953</v>
      </c>
      <c r="O40" t="s">
        <v>2184</v>
      </c>
      <c r="P40" t="s">
        <v>953</v>
      </c>
      <c r="Q40" t="s">
        <v>1406</v>
      </c>
      <c r="R40" t="s">
        <v>2185</v>
      </c>
      <c r="S40" t="s">
        <v>953</v>
      </c>
      <c r="T40" t="s">
        <v>953</v>
      </c>
      <c r="U40" t="s">
        <v>953</v>
      </c>
      <c r="V40" t="s">
        <v>953</v>
      </c>
      <c r="W40" t="s">
        <v>1927</v>
      </c>
      <c r="X40" t="s">
        <v>331</v>
      </c>
      <c r="Y40" t="s">
        <v>2186</v>
      </c>
      <c r="Z40" t="s">
        <v>158</v>
      </c>
      <c r="AA40" t="s">
        <v>953</v>
      </c>
      <c r="AB40" t="s">
        <v>1170</v>
      </c>
      <c r="AC40" t="s">
        <v>158</v>
      </c>
      <c r="AD40" t="s">
        <v>1353</v>
      </c>
      <c r="AE40" t="s">
        <v>953</v>
      </c>
      <c r="AF40" t="s">
        <v>1065</v>
      </c>
      <c r="AG40" t="s">
        <v>1632</v>
      </c>
      <c r="AH40" t="s">
        <v>262</v>
      </c>
      <c r="AI40" t="s">
        <v>15</v>
      </c>
      <c r="AJ40" t="s">
        <v>953</v>
      </c>
      <c r="AK40" t="s">
        <v>953</v>
      </c>
      <c r="AL40" t="s">
        <v>2187</v>
      </c>
      <c r="AM40" t="s">
        <v>953</v>
      </c>
      <c r="AN40" t="s">
        <v>953</v>
      </c>
      <c r="AO40" t="s">
        <v>1065</v>
      </c>
      <c r="AP40" t="s">
        <v>2188</v>
      </c>
    </row>
    <row r="41" spans="1:42" x14ac:dyDescent="0.2">
      <c r="A41" t="s">
        <v>837</v>
      </c>
      <c r="B41" t="s">
        <v>2189</v>
      </c>
      <c r="C41" t="s">
        <v>1266</v>
      </c>
      <c r="D41" t="s">
        <v>837</v>
      </c>
      <c r="E41" t="s">
        <v>1217</v>
      </c>
      <c r="F41" t="s">
        <v>1066</v>
      </c>
      <c r="G41" t="s">
        <v>1354</v>
      </c>
      <c r="H41" t="s">
        <v>103</v>
      </c>
      <c r="I41" t="s">
        <v>1595</v>
      </c>
      <c r="J41" t="s">
        <v>16</v>
      </c>
      <c r="K41" t="s">
        <v>1836</v>
      </c>
      <c r="L41" t="s">
        <v>1699</v>
      </c>
      <c r="M41" t="s">
        <v>1104</v>
      </c>
      <c r="N41" t="s">
        <v>837</v>
      </c>
      <c r="O41" t="s">
        <v>837</v>
      </c>
      <c r="P41" t="s">
        <v>1043</v>
      </c>
      <c r="Q41" t="s">
        <v>1407</v>
      </c>
      <c r="R41" t="s">
        <v>313</v>
      </c>
      <c r="S41" t="s">
        <v>1785</v>
      </c>
      <c r="T41" t="s">
        <v>1325</v>
      </c>
      <c r="U41" t="s">
        <v>837</v>
      </c>
      <c r="V41" t="s">
        <v>1013</v>
      </c>
      <c r="W41" t="s">
        <v>1928</v>
      </c>
      <c r="X41" t="s">
        <v>332</v>
      </c>
      <c r="Y41" t="s">
        <v>1633</v>
      </c>
      <c r="Z41" t="s">
        <v>459</v>
      </c>
      <c r="AA41" t="s">
        <v>64</v>
      </c>
      <c r="AB41" t="s">
        <v>1171</v>
      </c>
      <c r="AC41" t="s">
        <v>159</v>
      </c>
      <c r="AD41" t="s">
        <v>1354</v>
      </c>
      <c r="AE41" t="s">
        <v>2190</v>
      </c>
      <c r="AF41" t="s">
        <v>1066</v>
      </c>
      <c r="AG41" t="s">
        <v>2191</v>
      </c>
      <c r="AH41" t="s">
        <v>2192</v>
      </c>
      <c r="AI41" t="s">
        <v>837</v>
      </c>
      <c r="AJ41" t="s">
        <v>1013</v>
      </c>
      <c r="AK41" t="s">
        <v>64</v>
      </c>
      <c r="AL41" t="s">
        <v>204</v>
      </c>
      <c r="AM41" t="s">
        <v>1217</v>
      </c>
      <c r="AN41" t="s">
        <v>1883</v>
      </c>
      <c r="AO41" t="s">
        <v>755</v>
      </c>
      <c r="AP41" t="s">
        <v>524</v>
      </c>
    </row>
    <row r="42" spans="1:42" x14ac:dyDescent="0.2">
      <c r="A42" t="s">
        <v>954</v>
      </c>
      <c r="B42" t="s">
        <v>2193</v>
      </c>
      <c r="C42" t="s">
        <v>1267</v>
      </c>
      <c r="D42" t="s">
        <v>688</v>
      </c>
      <c r="E42" t="s">
        <v>954</v>
      </c>
      <c r="F42" t="s">
        <v>1574</v>
      </c>
      <c r="G42" t="s">
        <v>954</v>
      </c>
      <c r="H42" t="s">
        <v>1596</v>
      </c>
      <c r="I42" t="s">
        <v>1596</v>
      </c>
      <c r="J42" t="s">
        <v>954</v>
      </c>
      <c r="K42" t="s">
        <v>954</v>
      </c>
      <c r="L42" t="s">
        <v>954</v>
      </c>
      <c r="M42" t="s">
        <v>1105</v>
      </c>
      <c r="N42" t="s">
        <v>1027</v>
      </c>
      <c r="O42" t="s">
        <v>2194</v>
      </c>
      <c r="P42" t="s">
        <v>1044</v>
      </c>
      <c r="Q42" t="s">
        <v>1408</v>
      </c>
      <c r="R42" t="s">
        <v>314</v>
      </c>
      <c r="S42" t="s">
        <v>1786</v>
      </c>
      <c r="T42" t="s">
        <v>954</v>
      </c>
      <c r="U42" t="s">
        <v>954</v>
      </c>
      <c r="V42" t="s">
        <v>954</v>
      </c>
      <c r="W42" t="s">
        <v>1929</v>
      </c>
      <c r="X42" t="s">
        <v>954</v>
      </c>
      <c r="Y42" t="s">
        <v>1067</v>
      </c>
      <c r="Z42" t="s">
        <v>460</v>
      </c>
      <c r="AA42" t="s">
        <v>954</v>
      </c>
      <c r="AB42" t="s">
        <v>1172</v>
      </c>
      <c r="AC42" t="s">
        <v>160</v>
      </c>
      <c r="AD42" t="s">
        <v>954</v>
      </c>
      <c r="AE42" t="s">
        <v>954</v>
      </c>
      <c r="AF42" t="s">
        <v>1067</v>
      </c>
      <c r="AG42" t="s">
        <v>1067</v>
      </c>
      <c r="AH42" t="s">
        <v>2195</v>
      </c>
      <c r="AI42" t="s">
        <v>954</v>
      </c>
      <c r="AJ42" t="s">
        <v>954</v>
      </c>
      <c r="AK42" t="s">
        <v>954</v>
      </c>
      <c r="AL42" t="s">
        <v>205</v>
      </c>
      <c r="AM42" t="s">
        <v>1218</v>
      </c>
      <c r="AN42" t="s">
        <v>954</v>
      </c>
      <c r="AO42" t="s">
        <v>1067</v>
      </c>
      <c r="AP42" t="s">
        <v>525</v>
      </c>
    </row>
    <row r="43" spans="1:42" x14ac:dyDescent="0.2">
      <c r="A43" t="s">
        <v>955</v>
      </c>
      <c r="B43" t="s">
        <v>2196</v>
      </c>
      <c r="C43" t="s">
        <v>1268</v>
      </c>
      <c r="D43" t="s">
        <v>689</v>
      </c>
      <c r="E43" t="s">
        <v>955</v>
      </c>
      <c r="F43" t="s">
        <v>1068</v>
      </c>
      <c r="G43" t="s">
        <v>1355</v>
      </c>
      <c r="H43" t="s">
        <v>104</v>
      </c>
      <c r="I43" t="s">
        <v>1597</v>
      </c>
      <c r="J43" t="s">
        <v>17</v>
      </c>
      <c r="K43" t="s">
        <v>1837</v>
      </c>
      <c r="L43" t="s">
        <v>955</v>
      </c>
      <c r="M43" t="s">
        <v>955</v>
      </c>
      <c r="N43" t="s">
        <v>955</v>
      </c>
      <c r="O43" t="s">
        <v>2197</v>
      </c>
      <c r="P43" t="s">
        <v>955</v>
      </c>
      <c r="Q43" t="s">
        <v>1409</v>
      </c>
      <c r="R43" t="s">
        <v>315</v>
      </c>
      <c r="S43" t="s">
        <v>1669</v>
      </c>
      <c r="T43" t="s">
        <v>955</v>
      </c>
      <c r="U43" t="s">
        <v>591</v>
      </c>
      <c r="V43" t="s">
        <v>955</v>
      </c>
      <c r="W43" t="s">
        <v>1930</v>
      </c>
      <c r="X43" t="s">
        <v>17</v>
      </c>
      <c r="Y43" t="s">
        <v>1634</v>
      </c>
      <c r="Z43" t="s">
        <v>461</v>
      </c>
      <c r="AA43" t="s">
        <v>955</v>
      </c>
      <c r="AB43" t="s">
        <v>1173</v>
      </c>
      <c r="AC43" t="s">
        <v>955</v>
      </c>
      <c r="AD43" t="s">
        <v>1669</v>
      </c>
      <c r="AE43" t="s">
        <v>955</v>
      </c>
      <c r="AF43" t="s">
        <v>1068</v>
      </c>
      <c r="AG43" t="s">
        <v>1634</v>
      </c>
      <c r="AH43" t="s">
        <v>1669</v>
      </c>
      <c r="AI43" t="s">
        <v>17</v>
      </c>
      <c r="AJ43" t="s">
        <v>955</v>
      </c>
      <c r="AK43" t="s">
        <v>955</v>
      </c>
      <c r="AL43" t="s">
        <v>206</v>
      </c>
      <c r="AM43" t="s">
        <v>1219</v>
      </c>
      <c r="AN43" t="s">
        <v>955</v>
      </c>
      <c r="AO43" t="s">
        <v>756</v>
      </c>
      <c r="AP43" t="s">
        <v>2198</v>
      </c>
    </row>
    <row r="44" spans="1:42" x14ac:dyDescent="0.2">
      <c r="A44" t="s">
        <v>956</v>
      </c>
      <c r="B44" t="s">
        <v>956</v>
      </c>
      <c r="C44" t="s">
        <v>2199</v>
      </c>
      <c r="D44" t="s">
        <v>2200</v>
      </c>
      <c r="E44" t="s">
        <v>1516</v>
      </c>
      <c r="F44" t="s">
        <v>2201</v>
      </c>
      <c r="G44" t="s">
        <v>1014</v>
      </c>
      <c r="H44" t="s">
        <v>105</v>
      </c>
      <c r="I44" t="s">
        <v>2202</v>
      </c>
      <c r="J44" t="s">
        <v>425</v>
      </c>
      <c r="K44" t="s">
        <v>2203</v>
      </c>
      <c r="L44" t="s">
        <v>790</v>
      </c>
      <c r="M44" t="s">
        <v>1106</v>
      </c>
      <c r="N44" t="s">
        <v>1028</v>
      </c>
      <c r="O44" t="s">
        <v>2204</v>
      </c>
      <c r="P44" t="s">
        <v>1045</v>
      </c>
      <c r="Q44" t="s">
        <v>2205</v>
      </c>
      <c r="R44" t="s">
        <v>2206</v>
      </c>
      <c r="S44" t="s">
        <v>1787</v>
      </c>
      <c r="T44" t="s">
        <v>2207</v>
      </c>
      <c r="U44" t="s">
        <v>2208</v>
      </c>
      <c r="V44" t="s">
        <v>1356</v>
      </c>
      <c r="W44" t="s">
        <v>2209</v>
      </c>
      <c r="X44" t="s">
        <v>374</v>
      </c>
      <c r="Y44" t="s">
        <v>2210</v>
      </c>
      <c r="Z44" t="s">
        <v>2211</v>
      </c>
      <c r="AA44" t="s">
        <v>273</v>
      </c>
      <c r="AB44" t="s">
        <v>1174</v>
      </c>
      <c r="AC44" t="s">
        <v>161</v>
      </c>
      <c r="AD44" t="s">
        <v>2212</v>
      </c>
      <c r="AE44" t="s">
        <v>2213</v>
      </c>
      <c r="AF44" t="s">
        <v>2214</v>
      </c>
      <c r="AG44" t="s">
        <v>1635</v>
      </c>
      <c r="AH44" t="s">
        <v>2215</v>
      </c>
      <c r="AI44" t="s">
        <v>425</v>
      </c>
      <c r="AJ44" t="s">
        <v>1014</v>
      </c>
      <c r="AK44" t="s">
        <v>790</v>
      </c>
      <c r="AL44" t="s">
        <v>207</v>
      </c>
      <c r="AM44" t="s">
        <v>2216</v>
      </c>
      <c r="AN44" t="s">
        <v>1884</v>
      </c>
      <c r="AO44" t="s">
        <v>757</v>
      </c>
      <c r="AP44" t="s">
        <v>2217</v>
      </c>
    </row>
    <row r="45" spans="1:42" x14ac:dyDescent="0.2">
      <c r="A45" t="s">
        <v>957</v>
      </c>
      <c r="B45" t="s">
        <v>2218</v>
      </c>
      <c r="C45" t="s">
        <v>2219</v>
      </c>
      <c r="D45" t="s">
        <v>690</v>
      </c>
      <c r="E45" t="s">
        <v>1517</v>
      </c>
      <c r="F45" t="s">
        <v>1575</v>
      </c>
      <c r="G45" t="s">
        <v>1357</v>
      </c>
      <c r="H45" t="s">
        <v>106</v>
      </c>
      <c r="I45" t="s">
        <v>1598</v>
      </c>
      <c r="J45" t="s">
        <v>18</v>
      </c>
      <c r="K45" t="s">
        <v>1838</v>
      </c>
      <c r="L45" t="s">
        <v>1700</v>
      </c>
      <c r="M45" t="s">
        <v>1107</v>
      </c>
      <c r="N45" t="s">
        <v>1029</v>
      </c>
      <c r="O45" t="s">
        <v>2220</v>
      </c>
      <c r="P45" t="s">
        <v>1046</v>
      </c>
      <c r="Q45" t="s">
        <v>1410</v>
      </c>
      <c r="R45" t="s">
        <v>2221</v>
      </c>
      <c r="S45" t="s">
        <v>1788</v>
      </c>
      <c r="T45" t="s">
        <v>1326</v>
      </c>
      <c r="U45" t="s">
        <v>592</v>
      </c>
      <c r="V45" t="s">
        <v>1015</v>
      </c>
      <c r="W45" t="s">
        <v>1931</v>
      </c>
      <c r="X45" t="s">
        <v>333</v>
      </c>
      <c r="Y45" t="s">
        <v>1636</v>
      </c>
      <c r="Z45" t="s">
        <v>2222</v>
      </c>
      <c r="AA45" t="s">
        <v>274</v>
      </c>
      <c r="AB45" t="s">
        <v>1175</v>
      </c>
      <c r="AC45" t="s">
        <v>162</v>
      </c>
      <c r="AD45" t="s">
        <v>1670</v>
      </c>
      <c r="AE45" t="s">
        <v>1015</v>
      </c>
      <c r="AF45" t="s">
        <v>1069</v>
      </c>
      <c r="AG45" t="s">
        <v>2223</v>
      </c>
      <c r="AH45" t="s">
        <v>2224</v>
      </c>
      <c r="AI45" t="s">
        <v>426</v>
      </c>
      <c r="AJ45" t="s">
        <v>1015</v>
      </c>
      <c r="AK45" t="s">
        <v>65</v>
      </c>
      <c r="AL45" t="s">
        <v>2225</v>
      </c>
      <c r="AM45" t="s">
        <v>1220</v>
      </c>
      <c r="AN45" t="s">
        <v>2226</v>
      </c>
      <c r="AO45" t="s">
        <v>758</v>
      </c>
      <c r="AP45" t="s">
        <v>1175</v>
      </c>
    </row>
    <row r="46" spans="1:42" x14ac:dyDescent="0.2">
      <c r="A46" t="s">
        <v>958</v>
      </c>
      <c r="B46" t="s">
        <v>2227</v>
      </c>
      <c r="C46" t="s">
        <v>2228</v>
      </c>
      <c r="D46" t="s">
        <v>691</v>
      </c>
      <c r="E46" t="s">
        <v>1518</v>
      </c>
      <c r="F46" t="s">
        <v>1070</v>
      </c>
      <c r="G46" t="s">
        <v>1358</v>
      </c>
      <c r="H46" t="s">
        <v>2229</v>
      </c>
      <c r="I46" t="s">
        <v>2230</v>
      </c>
      <c r="J46" t="s">
        <v>19</v>
      </c>
      <c r="K46" t="s">
        <v>1839</v>
      </c>
      <c r="L46" t="s">
        <v>958</v>
      </c>
      <c r="M46" t="s">
        <v>1108</v>
      </c>
      <c r="N46" t="s">
        <v>1030</v>
      </c>
      <c r="O46" t="s">
        <v>958</v>
      </c>
      <c r="P46" t="s">
        <v>958</v>
      </c>
      <c r="Q46" t="s">
        <v>1411</v>
      </c>
      <c r="R46" t="s">
        <v>316</v>
      </c>
      <c r="S46" t="s">
        <v>1789</v>
      </c>
      <c r="T46" t="s">
        <v>1327</v>
      </c>
      <c r="U46" t="s">
        <v>958</v>
      </c>
      <c r="V46" t="s">
        <v>1468</v>
      </c>
      <c r="W46" t="s">
        <v>2231</v>
      </c>
      <c r="X46" t="s">
        <v>334</v>
      </c>
      <c r="Y46" t="s">
        <v>1637</v>
      </c>
      <c r="Z46" t="s">
        <v>462</v>
      </c>
      <c r="AA46" t="s">
        <v>958</v>
      </c>
      <c r="AB46" t="s">
        <v>526</v>
      </c>
      <c r="AC46" t="s">
        <v>1789</v>
      </c>
      <c r="AD46" t="s">
        <v>1016</v>
      </c>
      <c r="AE46" t="s">
        <v>1789</v>
      </c>
      <c r="AF46" t="s">
        <v>1070</v>
      </c>
      <c r="AG46" t="s">
        <v>2232</v>
      </c>
      <c r="AH46" t="s">
        <v>263</v>
      </c>
      <c r="AI46" t="s">
        <v>334</v>
      </c>
      <c r="AJ46" t="s">
        <v>1016</v>
      </c>
      <c r="AK46" t="s">
        <v>958</v>
      </c>
      <c r="AL46" t="s">
        <v>208</v>
      </c>
      <c r="AM46" t="s">
        <v>1221</v>
      </c>
      <c r="AN46" t="s">
        <v>1885</v>
      </c>
      <c r="AO46" t="s">
        <v>759</v>
      </c>
      <c r="AP46" t="s">
        <v>2233</v>
      </c>
    </row>
    <row r="47" spans="1:42" x14ac:dyDescent="0.2">
      <c r="A47" t="s">
        <v>959</v>
      </c>
      <c r="B47" t="s">
        <v>631</v>
      </c>
      <c r="C47" t="s">
        <v>2234</v>
      </c>
      <c r="D47" t="s">
        <v>959</v>
      </c>
      <c r="E47" t="s">
        <v>2235</v>
      </c>
      <c r="F47" t="s">
        <v>1576</v>
      </c>
      <c r="G47" t="s">
        <v>1671</v>
      </c>
      <c r="H47" t="s">
        <v>107</v>
      </c>
      <c r="I47" t="s">
        <v>1599</v>
      </c>
      <c r="J47" t="s">
        <v>20</v>
      </c>
      <c r="K47" t="s">
        <v>2236</v>
      </c>
      <c r="L47" t="s">
        <v>959</v>
      </c>
      <c r="M47" t="s">
        <v>2237</v>
      </c>
      <c r="N47" t="s">
        <v>959</v>
      </c>
      <c r="O47" t="s">
        <v>959</v>
      </c>
      <c r="P47" t="s">
        <v>959</v>
      </c>
      <c r="Q47" t="s">
        <v>1412</v>
      </c>
      <c r="R47" t="s">
        <v>2238</v>
      </c>
      <c r="S47" t="s">
        <v>959</v>
      </c>
      <c r="T47" t="s">
        <v>2239</v>
      </c>
      <c r="U47" t="s">
        <v>959</v>
      </c>
      <c r="V47" t="s">
        <v>2240</v>
      </c>
      <c r="W47" t="s">
        <v>1932</v>
      </c>
      <c r="X47" t="s">
        <v>375</v>
      </c>
      <c r="Y47" t="s">
        <v>1638</v>
      </c>
      <c r="Z47" t="s">
        <v>959</v>
      </c>
      <c r="AA47" t="s">
        <v>959</v>
      </c>
      <c r="AB47" t="s">
        <v>2241</v>
      </c>
      <c r="AC47" t="s">
        <v>959</v>
      </c>
      <c r="AD47" t="s">
        <v>1671</v>
      </c>
      <c r="AE47" t="s">
        <v>2242</v>
      </c>
      <c r="AF47" t="s">
        <v>1071</v>
      </c>
      <c r="AG47" t="s">
        <v>1638</v>
      </c>
      <c r="AH47" t="s">
        <v>2243</v>
      </c>
      <c r="AI47" t="s">
        <v>427</v>
      </c>
      <c r="AJ47" t="s">
        <v>2244</v>
      </c>
      <c r="AK47" t="s">
        <v>959</v>
      </c>
      <c r="AL47" t="s">
        <v>2245</v>
      </c>
      <c r="AM47" t="s">
        <v>2246</v>
      </c>
      <c r="AN47" t="s">
        <v>2247</v>
      </c>
      <c r="AO47" t="s">
        <v>1071</v>
      </c>
      <c r="AP47" t="s">
        <v>2248</v>
      </c>
    </row>
    <row r="48" spans="1:42" x14ac:dyDescent="0.2">
      <c r="A48" t="s">
        <v>960</v>
      </c>
      <c r="B48" t="s">
        <v>2249</v>
      </c>
      <c r="C48" t="s">
        <v>1269</v>
      </c>
      <c r="D48" t="s">
        <v>2250</v>
      </c>
      <c r="E48" t="s">
        <v>960</v>
      </c>
      <c r="F48" t="s">
        <v>1072</v>
      </c>
      <c r="G48" t="s">
        <v>1359</v>
      </c>
      <c r="H48" t="s">
        <v>108</v>
      </c>
      <c r="I48" t="s">
        <v>1600</v>
      </c>
      <c r="J48" t="s">
        <v>21</v>
      </c>
      <c r="K48" t="s">
        <v>1840</v>
      </c>
      <c r="L48" t="s">
        <v>1701</v>
      </c>
      <c r="M48" t="s">
        <v>1109</v>
      </c>
      <c r="N48" t="s">
        <v>1031</v>
      </c>
      <c r="O48" t="s">
        <v>2251</v>
      </c>
      <c r="P48" t="s">
        <v>1047</v>
      </c>
      <c r="Q48" t="s">
        <v>1413</v>
      </c>
      <c r="R48" t="s">
        <v>317</v>
      </c>
      <c r="S48" t="s">
        <v>1672</v>
      </c>
      <c r="T48" t="s">
        <v>716</v>
      </c>
      <c r="U48" t="s">
        <v>2252</v>
      </c>
      <c r="V48" t="s">
        <v>960</v>
      </c>
      <c r="W48" t="s">
        <v>1933</v>
      </c>
      <c r="X48" t="s">
        <v>335</v>
      </c>
      <c r="Y48" t="s">
        <v>1072</v>
      </c>
      <c r="Z48" t="s">
        <v>463</v>
      </c>
      <c r="AA48" t="s">
        <v>275</v>
      </c>
      <c r="AB48" t="s">
        <v>1176</v>
      </c>
      <c r="AC48" t="s">
        <v>163</v>
      </c>
      <c r="AD48" t="s">
        <v>436</v>
      </c>
      <c r="AE48" t="s">
        <v>960</v>
      </c>
      <c r="AF48" t="s">
        <v>1072</v>
      </c>
      <c r="AG48" t="s">
        <v>1072</v>
      </c>
      <c r="AH48" t="s">
        <v>2253</v>
      </c>
      <c r="AI48" t="s">
        <v>428</v>
      </c>
      <c r="AJ48" t="s">
        <v>1017</v>
      </c>
      <c r="AK48" t="s">
        <v>1701</v>
      </c>
      <c r="AL48" t="s">
        <v>2254</v>
      </c>
      <c r="AM48" t="s">
        <v>1222</v>
      </c>
      <c r="AN48" t="s">
        <v>960</v>
      </c>
      <c r="AO48" t="s">
        <v>1072</v>
      </c>
      <c r="AP48" t="s">
        <v>527</v>
      </c>
    </row>
    <row r="49" spans="1:42" x14ac:dyDescent="0.2">
      <c r="A49" t="s">
        <v>2157</v>
      </c>
      <c r="B49" t="s">
        <v>2138</v>
      </c>
      <c r="C49" t="s">
        <v>2139</v>
      </c>
      <c r="D49" t="s">
        <v>2140</v>
      </c>
      <c r="E49" t="s">
        <v>2141</v>
      </c>
      <c r="F49" t="s">
        <v>2142</v>
      </c>
      <c r="G49" t="s">
        <v>2143</v>
      </c>
      <c r="H49" t="s">
        <v>2144</v>
      </c>
      <c r="I49" t="s">
        <v>2145</v>
      </c>
      <c r="J49" t="s">
        <v>2146</v>
      </c>
      <c r="K49" t="s">
        <v>2147</v>
      </c>
      <c r="L49" t="s">
        <v>2148</v>
      </c>
      <c r="M49" t="s">
        <v>2148</v>
      </c>
      <c r="N49" t="s">
        <v>2149</v>
      </c>
      <c r="O49" t="s">
        <v>2150</v>
      </c>
      <c r="P49" t="s">
        <v>2151</v>
      </c>
      <c r="Q49" t="s">
        <v>2152</v>
      </c>
      <c r="R49" t="s">
        <v>2153</v>
      </c>
      <c r="S49" t="s">
        <v>2154</v>
      </c>
      <c r="T49" t="s">
        <v>2155</v>
      </c>
      <c r="U49" t="s">
        <v>2156</v>
      </c>
      <c r="V49" t="s">
        <v>2157</v>
      </c>
      <c r="W49" t="s">
        <v>2158</v>
      </c>
      <c r="X49" t="s">
        <v>2146</v>
      </c>
      <c r="Y49" t="s">
        <v>2159</v>
      </c>
      <c r="Z49" t="s">
        <v>2160</v>
      </c>
      <c r="AA49" t="s">
        <v>2151</v>
      </c>
      <c r="AB49" t="s">
        <v>2161</v>
      </c>
      <c r="AC49" t="s">
        <v>2162</v>
      </c>
      <c r="AD49" t="s">
        <v>2143</v>
      </c>
      <c r="AE49" t="s">
        <v>2155</v>
      </c>
      <c r="AF49" t="s">
        <v>2163</v>
      </c>
      <c r="AG49" t="s">
        <v>2159</v>
      </c>
      <c r="AH49" t="s">
        <v>2164</v>
      </c>
      <c r="AI49" t="s">
        <v>2146</v>
      </c>
      <c r="AJ49" t="s">
        <v>2155</v>
      </c>
      <c r="AK49" t="s">
        <v>2165</v>
      </c>
      <c r="AL49" t="s">
        <v>2166</v>
      </c>
      <c r="AM49" t="s">
        <v>2167</v>
      </c>
      <c r="AN49" t="s">
        <v>2168</v>
      </c>
      <c r="AO49" t="s">
        <v>2169</v>
      </c>
      <c r="AP49" t="s">
        <v>2170</v>
      </c>
    </row>
    <row r="50" spans="1:42" x14ac:dyDescent="0.2">
      <c r="A50" t="s">
        <v>838</v>
      </c>
      <c r="B50" t="s">
        <v>2261</v>
      </c>
      <c r="C50" t="s">
        <v>1270</v>
      </c>
      <c r="D50" t="s">
        <v>692</v>
      </c>
      <c r="E50" t="s">
        <v>1519</v>
      </c>
      <c r="F50" t="s">
        <v>1073</v>
      </c>
      <c r="G50" t="s">
        <v>1360</v>
      </c>
      <c r="H50" t="s">
        <v>109</v>
      </c>
      <c r="I50" t="s">
        <v>1601</v>
      </c>
      <c r="J50" t="s">
        <v>22</v>
      </c>
      <c r="K50" t="s">
        <v>1841</v>
      </c>
      <c r="L50" t="s">
        <v>1702</v>
      </c>
      <c r="M50" t="s">
        <v>1110</v>
      </c>
      <c r="N50" t="s">
        <v>1032</v>
      </c>
      <c r="O50" t="s">
        <v>838</v>
      </c>
      <c r="P50" t="s">
        <v>1048</v>
      </c>
      <c r="Q50" t="s">
        <v>1414</v>
      </c>
      <c r="R50" t="s">
        <v>318</v>
      </c>
      <c r="S50" t="s">
        <v>1790</v>
      </c>
      <c r="T50" t="s">
        <v>1328</v>
      </c>
      <c r="U50" t="s">
        <v>593</v>
      </c>
      <c r="V50" t="s">
        <v>1469</v>
      </c>
      <c r="W50" t="s">
        <v>1934</v>
      </c>
      <c r="X50" t="s">
        <v>336</v>
      </c>
      <c r="Y50" t="s">
        <v>2262</v>
      </c>
      <c r="Z50" t="s">
        <v>464</v>
      </c>
      <c r="AA50" t="s">
        <v>1702</v>
      </c>
      <c r="AB50" t="s">
        <v>1177</v>
      </c>
      <c r="AC50" t="s">
        <v>164</v>
      </c>
      <c r="AD50" t="s">
        <v>1673</v>
      </c>
      <c r="AE50" t="s">
        <v>1469</v>
      </c>
      <c r="AF50" t="s">
        <v>1073</v>
      </c>
      <c r="AG50" t="s">
        <v>2263</v>
      </c>
      <c r="AH50" t="s">
        <v>2264</v>
      </c>
      <c r="AI50" t="s">
        <v>429</v>
      </c>
      <c r="AJ50" t="s">
        <v>1018</v>
      </c>
      <c r="AK50" t="s">
        <v>1702</v>
      </c>
      <c r="AL50" t="s">
        <v>2265</v>
      </c>
      <c r="AM50" t="s">
        <v>1223</v>
      </c>
      <c r="AN50" t="s">
        <v>1886</v>
      </c>
      <c r="AO50" t="s">
        <v>760</v>
      </c>
      <c r="AP50" t="s">
        <v>528</v>
      </c>
    </row>
    <row r="51" spans="1:42" x14ac:dyDescent="0.2">
      <c r="A51" t="s">
        <v>961</v>
      </c>
      <c r="B51" t="s">
        <v>717</v>
      </c>
      <c r="C51" t="s">
        <v>1271</v>
      </c>
      <c r="D51" t="s">
        <v>693</v>
      </c>
      <c r="E51" t="s">
        <v>1520</v>
      </c>
      <c r="F51" t="s">
        <v>1074</v>
      </c>
      <c r="G51" t="s">
        <v>1361</v>
      </c>
      <c r="H51" t="s">
        <v>110</v>
      </c>
      <c r="I51" t="s">
        <v>1602</v>
      </c>
      <c r="J51" t="s">
        <v>23</v>
      </c>
      <c r="K51" t="s">
        <v>1842</v>
      </c>
      <c r="L51" t="s">
        <v>1049</v>
      </c>
      <c r="M51" t="s">
        <v>1111</v>
      </c>
      <c r="N51" t="s">
        <v>1033</v>
      </c>
      <c r="O51" t="s">
        <v>2266</v>
      </c>
      <c r="P51" t="s">
        <v>1049</v>
      </c>
      <c r="Q51" t="s">
        <v>1415</v>
      </c>
      <c r="R51" t="s">
        <v>319</v>
      </c>
      <c r="S51" t="s">
        <v>1791</v>
      </c>
      <c r="T51" t="s">
        <v>961</v>
      </c>
      <c r="U51" t="s">
        <v>961</v>
      </c>
      <c r="V51" t="s">
        <v>961</v>
      </c>
      <c r="W51" t="s">
        <v>1935</v>
      </c>
      <c r="X51" t="s">
        <v>23</v>
      </c>
      <c r="Y51" t="s">
        <v>2267</v>
      </c>
      <c r="Z51" t="s">
        <v>465</v>
      </c>
      <c r="AA51" t="s">
        <v>961</v>
      </c>
      <c r="AB51" t="s">
        <v>1178</v>
      </c>
      <c r="AC51" t="s">
        <v>961</v>
      </c>
      <c r="AD51" t="s">
        <v>264</v>
      </c>
      <c r="AE51" t="s">
        <v>961</v>
      </c>
      <c r="AF51" t="s">
        <v>1074</v>
      </c>
      <c r="AG51" t="s">
        <v>2268</v>
      </c>
      <c r="AH51" t="s">
        <v>264</v>
      </c>
      <c r="AI51" t="s">
        <v>430</v>
      </c>
      <c r="AJ51" t="s">
        <v>961</v>
      </c>
      <c r="AK51" t="s">
        <v>1049</v>
      </c>
      <c r="AL51" t="s">
        <v>209</v>
      </c>
      <c r="AM51" t="s">
        <v>1224</v>
      </c>
      <c r="AN51" t="s">
        <v>2269</v>
      </c>
      <c r="AO51" t="s">
        <v>761</v>
      </c>
      <c r="AP51" t="s">
        <v>2270</v>
      </c>
    </row>
    <row r="52" spans="1:42" x14ac:dyDescent="0.2">
      <c r="A52" t="s">
        <v>2255</v>
      </c>
      <c r="B52" t="s">
        <v>2271</v>
      </c>
      <c r="C52" t="s">
        <v>2272</v>
      </c>
      <c r="D52" t="s">
        <v>2273</v>
      </c>
      <c r="E52" t="s">
        <v>2274</v>
      </c>
      <c r="F52" t="s">
        <v>2275</v>
      </c>
      <c r="G52" t="s">
        <v>2276</v>
      </c>
      <c r="H52" t="s">
        <v>2277</v>
      </c>
      <c r="I52" t="s">
        <v>2278</v>
      </c>
      <c r="J52" t="s">
        <v>2279</v>
      </c>
      <c r="K52" t="s">
        <v>2280</v>
      </c>
      <c r="L52" t="s">
        <v>2255</v>
      </c>
      <c r="M52" t="s">
        <v>2255</v>
      </c>
      <c r="N52" t="s">
        <v>2281</v>
      </c>
      <c r="O52" t="s">
        <v>2255</v>
      </c>
      <c r="P52" t="s">
        <v>2282</v>
      </c>
      <c r="Q52" t="s">
        <v>2283</v>
      </c>
      <c r="R52" t="s">
        <v>2284</v>
      </c>
      <c r="S52" t="s">
        <v>2255</v>
      </c>
      <c r="T52" t="s">
        <v>2285</v>
      </c>
      <c r="U52" t="s">
        <v>2255</v>
      </c>
      <c r="V52" t="s">
        <v>2255</v>
      </c>
      <c r="W52" t="s">
        <v>2286</v>
      </c>
      <c r="X52" t="s">
        <v>2279</v>
      </c>
      <c r="Y52" t="s">
        <v>2287</v>
      </c>
      <c r="Z52" t="s">
        <v>2288</v>
      </c>
      <c r="AA52" t="s">
        <v>2255</v>
      </c>
      <c r="AB52" t="s">
        <v>2289</v>
      </c>
      <c r="AC52" t="s">
        <v>2285</v>
      </c>
      <c r="AD52" t="s">
        <v>2290</v>
      </c>
      <c r="AE52" t="s">
        <v>2291</v>
      </c>
      <c r="AF52" t="s">
        <v>2275</v>
      </c>
      <c r="AG52" t="s">
        <v>2287</v>
      </c>
      <c r="AH52" t="s">
        <v>2292</v>
      </c>
      <c r="AI52" t="s">
        <v>2279</v>
      </c>
      <c r="AJ52" t="s">
        <v>2255</v>
      </c>
      <c r="AK52" t="s">
        <v>2255</v>
      </c>
      <c r="AL52" t="s">
        <v>2293</v>
      </c>
      <c r="AM52" t="s">
        <v>2294</v>
      </c>
      <c r="AN52" t="s">
        <v>2255</v>
      </c>
      <c r="AO52" t="s">
        <v>2295</v>
      </c>
      <c r="AP52" t="s">
        <v>2296</v>
      </c>
    </row>
    <row r="53" spans="1:42" x14ac:dyDescent="0.2">
      <c r="A53" t="s">
        <v>962</v>
      </c>
      <c r="B53" t="s">
        <v>1225</v>
      </c>
      <c r="C53" t="s">
        <v>1272</v>
      </c>
      <c r="D53" t="s">
        <v>694</v>
      </c>
      <c r="E53" t="s">
        <v>962</v>
      </c>
      <c r="F53" t="s">
        <v>1075</v>
      </c>
      <c r="G53" t="s">
        <v>962</v>
      </c>
      <c r="H53" t="s">
        <v>111</v>
      </c>
      <c r="I53" t="s">
        <v>1603</v>
      </c>
      <c r="J53" t="s">
        <v>1225</v>
      </c>
      <c r="K53" t="s">
        <v>962</v>
      </c>
      <c r="L53" t="s">
        <v>962</v>
      </c>
      <c r="M53" t="s">
        <v>962</v>
      </c>
      <c r="N53" t="s">
        <v>962</v>
      </c>
      <c r="O53" t="s">
        <v>2297</v>
      </c>
      <c r="P53" t="s">
        <v>962</v>
      </c>
      <c r="Q53" t="s">
        <v>1416</v>
      </c>
      <c r="R53" t="s">
        <v>320</v>
      </c>
      <c r="S53" t="s">
        <v>1792</v>
      </c>
      <c r="T53" t="s">
        <v>962</v>
      </c>
      <c r="U53" t="s">
        <v>1225</v>
      </c>
      <c r="V53" t="s">
        <v>962</v>
      </c>
      <c r="W53" t="s">
        <v>2298</v>
      </c>
      <c r="X53" t="s">
        <v>1225</v>
      </c>
      <c r="Y53" t="s">
        <v>1075</v>
      </c>
      <c r="Z53" t="s">
        <v>962</v>
      </c>
      <c r="AA53" t="s">
        <v>962</v>
      </c>
      <c r="AB53" t="s">
        <v>1179</v>
      </c>
      <c r="AC53" t="s">
        <v>962</v>
      </c>
      <c r="AD53" t="s">
        <v>1225</v>
      </c>
      <c r="AE53" t="s">
        <v>962</v>
      </c>
      <c r="AF53" t="s">
        <v>1075</v>
      </c>
      <c r="AG53" t="s">
        <v>1075</v>
      </c>
      <c r="AH53" t="s">
        <v>962</v>
      </c>
      <c r="AI53" t="s">
        <v>1225</v>
      </c>
      <c r="AJ53" t="s">
        <v>962</v>
      </c>
      <c r="AK53" t="s">
        <v>962</v>
      </c>
      <c r="AL53" t="s">
        <v>210</v>
      </c>
      <c r="AM53" t="s">
        <v>1225</v>
      </c>
      <c r="AN53" t="s">
        <v>962</v>
      </c>
      <c r="AO53" t="s">
        <v>1075</v>
      </c>
      <c r="AP53" t="s">
        <v>2299</v>
      </c>
    </row>
    <row r="54" spans="1:42" x14ac:dyDescent="0.2">
      <c r="A54" t="s">
        <v>963</v>
      </c>
      <c r="B54" t="s">
        <v>2300</v>
      </c>
      <c r="C54" t="s">
        <v>1273</v>
      </c>
      <c r="D54" t="s">
        <v>2301</v>
      </c>
      <c r="E54" t="s">
        <v>1521</v>
      </c>
      <c r="F54" t="s">
        <v>1577</v>
      </c>
      <c r="G54" t="s">
        <v>2302</v>
      </c>
      <c r="H54" t="s">
        <v>112</v>
      </c>
      <c r="I54" t="s">
        <v>1604</v>
      </c>
      <c r="J54" t="s">
        <v>24</v>
      </c>
      <c r="K54" t="s">
        <v>1843</v>
      </c>
      <c r="L54" t="s">
        <v>1703</v>
      </c>
      <c r="M54" t="s">
        <v>1112</v>
      </c>
      <c r="N54" t="s">
        <v>1034</v>
      </c>
      <c r="O54" t="s">
        <v>1740</v>
      </c>
      <c r="P54" t="s">
        <v>1050</v>
      </c>
      <c r="Q54" t="s">
        <v>1417</v>
      </c>
      <c r="R54" t="s">
        <v>321</v>
      </c>
      <c r="S54" t="s">
        <v>1793</v>
      </c>
      <c r="T54" t="s">
        <v>1329</v>
      </c>
      <c r="U54" t="s">
        <v>1703</v>
      </c>
      <c r="V54" t="s">
        <v>2303</v>
      </c>
      <c r="W54" t="s">
        <v>1936</v>
      </c>
      <c r="X54" t="s">
        <v>376</v>
      </c>
      <c r="Y54" t="s">
        <v>1639</v>
      </c>
      <c r="Z54" t="s">
        <v>1470</v>
      </c>
      <c r="AA54" t="s">
        <v>1112</v>
      </c>
      <c r="AB54" t="s">
        <v>1180</v>
      </c>
      <c r="AC54" t="s">
        <v>2304</v>
      </c>
      <c r="AD54" t="s">
        <v>1362</v>
      </c>
      <c r="AE54" t="s">
        <v>2305</v>
      </c>
      <c r="AF54" t="s">
        <v>1076</v>
      </c>
      <c r="AG54" t="s">
        <v>1639</v>
      </c>
      <c r="AH54" t="s">
        <v>2306</v>
      </c>
      <c r="AI54" t="s">
        <v>431</v>
      </c>
      <c r="AJ54" t="s">
        <v>1019</v>
      </c>
      <c r="AK54" t="s">
        <v>791</v>
      </c>
      <c r="AL54" t="s">
        <v>2307</v>
      </c>
      <c r="AM54" t="s">
        <v>1226</v>
      </c>
      <c r="AN54" t="s">
        <v>1887</v>
      </c>
      <c r="AO54" t="s">
        <v>762</v>
      </c>
      <c r="AP54" t="s">
        <v>2308</v>
      </c>
    </row>
    <row r="55" spans="1:42" x14ac:dyDescent="0.2">
      <c r="A55" t="s">
        <v>2256</v>
      </c>
      <c r="B55" t="s">
        <v>2309</v>
      </c>
      <c r="C55" t="s">
        <v>2310</v>
      </c>
      <c r="D55" t="s">
        <v>2311</v>
      </c>
      <c r="E55" t="s">
        <v>2256</v>
      </c>
      <c r="F55" t="s">
        <v>2256</v>
      </c>
      <c r="G55" t="s">
        <v>2256</v>
      </c>
      <c r="H55" t="s">
        <v>2312</v>
      </c>
      <c r="I55" t="s">
        <v>2313</v>
      </c>
      <c r="J55" t="s">
        <v>2314</v>
      </c>
      <c r="K55" t="s">
        <v>2314</v>
      </c>
      <c r="L55" t="s">
        <v>2256</v>
      </c>
      <c r="M55" t="s">
        <v>2256</v>
      </c>
      <c r="N55" t="s">
        <v>2256</v>
      </c>
      <c r="O55" t="s">
        <v>2315</v>
      </c>
      <c r="P55" t="s">
        <v>2256</v>
      </c>
      <c r="Q55" t="s">
        <v>2316</v>
      </c>
      <c r="R55" t="s">
        <v>2317</v>
      </c>
      <c r="S55" t="s">
        <v>2256</v>
      </c>
      <c r="T55" t="s">
        <v>2318</v>
      </c>
      <c r="U55" t="s">
        <v>2256</v>
      </c>
      <c r="V55" t="s">
        <v>2319</v>
      </c>
      <c r="W55" t="s">
        <v>2320</v>
      </c>
      <c r="X55" t="s">
        <v>2318</v>
      </c>
      <c r="Y55" t="s">
        <v>2321</v>
      </c>
      <c r="Z55" t="s">
        <v>2256</v>
      </c>
      <c r="AA55" t="s">
        <v>2256</v>
      </c>
      <c r="AB55" t="s">
        <v>2322</v>
      </c>
      <c r="AC55" t="s">
        <v>2323</v>
      </c>
      <c r="AD55" t="s">
        <v>2256</v>
      </c>
      <c r="AE55" t="s">
        <v>2256</v>
      </c>
      <c r="AF55" t="s">
        <v>2324</v>
      </c>
      <c r="AG55" t="s">
        <v>2325</v>
      </c>
      <c r="AH55" t="s">
        <v>2314</v>
      </c>
      <c r="AI55" t="s">
        <v>2256</v>
      </c>
      <c r="AJ55" t="s">
        <v>2256</v>
      </c>
      <c r="AK55" t="s">
        <v>2326</v>
      </c>
      <c r="AL55" t="s">
        <v>2327</v>
      </c>
      <c r="AM55" t="s">
        <v>2314</v>
      </c>
      <c r="AN55" t="s">
        <v>2256</v>
      </c>
      <c r="AO55" t="s">
        <v>2328</v>
      </c>
      <c r="AP55" t="s">
        <v>2329</v>
      </c>
    </row>
    <row r="56" spans="1:42" x14ac:dyDescent="0.2">
      <c r="A56" t="s">
        <v>964</v>
      </c>
      <c r="B56" t="s">
        <v>1967</v>
      </c>
      <c r="C56" t="s">
        <v>1274</v>
      </c>
      <c r="D56" t="s">
        <v>695</v>
      </c>
      <c r="E56" t="s">
        <v>1522</v>
      </c>
      <c r="F56" t="s">
        <v>1077</v>
      </c>
      <c r="G56" t="s">
        <v>1363</v>
      </c>
      <c r="H56" t="s">
        <v>1605</v>
      </c>
      <c r="I56" t="s">
        <v>1605</v>
      </c>
      <c r="J56" t="s">
        <v>964</v>
      </c>
      <c r="K56" t="s">
        <v>1844</v>
      </c>
      <c r="L56" t="s">
        <v>964</v>
      </c>
      <c r="M56" t="s">
        <v>964</v>
      </c>
      <c r="N56" t="s">
        <v>1035</v>
      </c>
      <c r="O56" t="s">
        <v>1741</v>
      </c>
      <c r="P56" t="s">
        <v>964</v>
      </c>
      <c r="Q56" t="s">
        <v>1418</v>
      </c>
      <c r="R56" t="s">
        <v>322</v>
      </c>
      <c r="S56" t="s">
        <v>1794</v>
      </c>
      <c r="T56" t="s">
        <v>1330</v>
      </c>
      <c r="U56" t="s">
        <v>964</v>
      </c>
      <c r="V56" t="s">
        <v>1471</v>
      </c>
      <c r="W56" t="s">
        <v>1937</v>
      </c>
      <c r="X56" t="s">
        <v>337</v>
      </c>
      <c r="Y56" t="s">
        <v>1640</v>
      </c>
      <c r="Z56" t="s">
        <v>466</v>
      </c>
      <c r="AA56" t="s">
        <v>964</v>
      </c>
      <c r="AB56" t="s">
        <v>1181</v>
      </c>
      <c r="AC56" t="s">
        <v>1967</v>
      </c>
      <c r="AD56" t="s">
        <v>1674</v>
      </c>
      <c r="AE56" t="s">
        <v>1967</v>
      </c>
      <c r="AF56" t="s">
        <v>1077</v>
      </c>
      <c r="AG56" t="s">
        <v>964</v>
      </c>
      <c r="AH56" t="s">
        <v>1844</v>
      </c>
      <c r="AI56" t="s">
        <v>432</v>
      </c>
      <c r="AJ56" t="s">
        <v>1020</v>
      </c>
      <c r="AK56" t="s">
        <v>964</v>
      </c>
      <c r="AL56" t="s">
        <v>211</v>
      </c>
      <c r="AM56" t="s">
        <v>1227</v>
      </c>
      <c r="AN56" t="s">
        <v>1888</v>
      </c>
      <c r="AO56" t="s">
        <v>763</v>
      </c>
      <c r="AP56" t="s">
        <v>529</v>
      </c>
    </row>
    <row r="57" spans="1:42" x14ac:dyDescent="0.2">
      <c r="A57" t="s">
        <v>965</v>
      </c>
      <c r="B57" t="s">
        <v>1051</v>
      </c>
      <c r="C57" t="s">
        <v>1275</v>
      </c>
      <c r="D57" t="s">
        <v>696</v>
      </c>
      <c r="E57" t="s">
        <v>965</v>
      </c>
      <c r="F57" t="s">
        <v>1078</v>
      </c>
      <c r="G57" t="s">
        <v>1364</v>
      </c>
      <c r="H57" t="s">
        <v>113</v>
      </c>
      <c r="I57" t="s">
        <v>1606</v>
      </c>
      <c r="J57" t="s">
        <v>1051</v>
      </c>
      <c r="K57" t="s">
        <v>1051</v>
      </c>
      <c r="L57" t="s">
        <v>1036</v>
      </c>
      <c r="M57" t="s">
        <v>1113</v>
      </c>
      <c r="N57" t="s">
        <v>1036</v>
      </c>
      <c r="O57" t="s">
        <v>2330</v>
      </c>
      <c r="P57" t="s">
        <v>1051</v>
      </c>
      <c r="Q57" t="s">
        <v>1419</v>
      </c>
      <c r="R57" t="s">
        <v>323</v>
      </c>
      <c r="S57" t="s">
        <v>1051</v>
      </c>
      <c r="T57" t="s">
        <v>1051</v>
      </c>
      <c r="U57" t="s">
        <v>594</v>
      </c>
      <c r="V57" t="s">
        <v>1364</v>
      </c>
      <c r="W57" t="s">
        <v>1938</v>
      </c>
      <c r="X57" t="s">
        <v>338</v>
      </c>
      <c r="Y57" t="s">
        <v>2331</v>
      </c>
      <c r="Z57" t="s">
        <v>1051</v>
      </c>
      <c r="AA57" t="s">
        <v>1051</v>
      </c>
      <c r="AB57" t="s">
        <v>1182</v>
      </c>
      <c r="AC57" t="s">
        <v>1051</v>
      </c>
      <c r="AD57" t="s">
        <v>1675</v>
      </c>
      <c r="AE57" t="s">
        <v>1364</v>
      </c>
      <c r="AF57" t="s">
        <v>1078</v>
      </c>
      <c r="AG57" t="s">
        <v>1078</v>
      </c>
      <c r="AH57" t="s">
        <v>1051</v>
      </c>
      <c r="AI57" t="s">
        <v>1051</v>
      </c>
      <c r="AJ57" t="s">
        <v>1021</v>
      </c>
      <c r="AK57" t="s">
        <v>1051</v>
      </c>
      <c r="AL57" t="s">
        <v>212</v>
      </c>
      <c r="AM57" t="s">
        <v>1051</v>
      </c>
      <c r="AN57" t="s">
        <v>965</v>
      </c>
      <c r="AO57" t="s">
        <v>1078</v>
      </c>
      <c r="AP57" t="s">
        <v>530</v>
      </c>
    </row>
    <row r="58" spans="1:42" x14ac:dyDescent="0.2">
      <c r="A58" t="s">
        <v>966</v>
      </c>
      <c r="B58" t="s">
        <v>170</v>
      </c>
      <c r="C58" t="s">
        <v>410</v>
      </c>
      <c r="D58" t="s">
        <v>697</v>
      </c>
      <c r="E58" t="s">
        <v>1523</v>
      </c>
      <c r="F58" t="s">
        <v>1079</v>
      </c>
      <c r="G58" t="s">
        <v>1365</v>
      </c>
      <c r="H58" t="s">
        <v>1607</v>
      </c>
      <c r="I58" t="s">
        <v>1607</v>
      </c>
      <c r="J58" t="s">
        <v>25</v>
      </c>
      <c r="K58" t="s">
        <v>1845</v>
      </c>
      <c r="L58" t="s">
        <v>1052</v>
      </c>
      <c r="M58" t="s">
        <v>1114</v>
      </c>
      <c r="N58" t="s">
        <v>1037</v>
      </c>
      <c r="O58" t="s">
        <v>2332</v>
      </c>
      <c r="P58" t="s">
        <v>1052</v>
      </c>
      <c r="Q58" t="s">
        <v>1420</v>
      </c>
      <c r="R58" t="s">
        <v>324</v>
      </c>
      <c r="S58" t="s">
        <v>1795</v>
      </c>
      <c r="T58" t="s">
        <v>1022</v>
      </c>
      <c r="U58" t="s">
        <v>966</v>
      </c>
      <c r="V58" t="s">
        <v>1022</v>
      </c>
      <c r="W58" t="s">
        <v>1939</v>
      </c>
      <c r="X58" t="s">
        <v>25</v>
      </c>
      <c r="Y58" t="s">
        <v>1641</v>
      </c>
      <c r="Z58" t="s">
        <v>467</v>
      </c>
      <c r="AA58" t="s">
        <v>1022</v>
      </c>
      <c r="AB58" t="s">
        <v>1183</v>
      </c>
      <c r="AC58" t="s">
        <v>165</v>
      </c>
      <c r="AD58" t="s">
        <v>437</v>
      </c>
      <c r="AE58" t="s">
        <v>1022</v>
      </c>
      <c r="AF58" t="s">
        <v>1079</v>
      </c>
      <c r="AG58" t="s">
        <v>1641</v>
      </c>
      <c r="AH58" t="s">
        <v>2333</v>
      </c>
      <c r="AI58" t="s">
        <v>25</v>
      </c>
      <c r="AJ58" t="s">
        <v>1022</v>
      </c>
      <c r="AK58" t="s">
        <v>1052</v>
      </c>
      <c r="AL58" t="s">
        <v>213</v>
      </c>
      <c r="AM58" t="s">
        <v>1228</v>
      </c>
      <c r="AN58" t="s">
        <v>1889</v>
      </c>
      <c r="AO58" t="s">
        <v>764</v>
      </c>
      <c r="AP58" t="s">
        <v>2334</v>
      </c>
    </row>
    <row r="59" spans="1:42" x14ac:dyDescent="0.2">
      <c r="A59" t="s">
        <v>2257</v>
      </c>
      <c r="B59" t="s">
        <v>2335</v>
      </c>
      <c r="C59" t="s">
        <v>2336</v>
      </c>
      <c r="D59" t="s">
        <v>2337</v>
      </c>
      <c r="E59" t="s">
        <v>2338</v>
      </c>
      <c r="F59" t="s">
        <v>2339</v>
      </c>
      <c r="G59" t="s">
        <v>2340</v>
      </c>
      <c r="H59" t="s">
        <v>2341</v>
      </c>
      <c r="I59" t="s">
        <v>2342</v>
      </c>
      <c r="J59" t="s">
        <v>2338</v>
      </c>
      <c r="K59" t="s">
        <v>2343</v>
      </c>
      <c r="L59" t="s">
        <v>2257</v>
      </c>
      <c r="M59" t="s">
        <v>2257</v>
      </c>
      <c r="N59" t="s">
        <v>2344</v>
      </c>
      <c r="O59" t="s">
        <v>2345</v>
      </c>
      <c r="P59" t="s">
        <v>2257</v>
      </c>
      <c r="Q59" t="s">
        <v>2346</v>
      </c>
      <c r="R59" t="s">
        <v>2347</v>
      </c>
      <c r="S59" t="s">
        <v>2257</v>
      </c>
      <c r="T59" t="s">
        <v>2335</v>
      </c>
      <c r="U59" t="s">
        <v>2257</v>
      </c>
      <c r="V59" t="s">
        <v>2257</v>
      </c>
      <c r="W59" t="s">
        <v>2348</v>
      </c>
      <c r="X59" t="s">
        <v>2349</v>
      </c>
      <c r="Y59" t="s">
        <v>2339</v>
      </c>
      <c r="Z59" t="s">
        <v>2350</v>
      </c>
      <c r="AA59" t="s">
        <v>2257</v>
      </c>
      <c r="AB59" t="s">
        <v>2351</v>
      </c>
      <c r="AC59" t="s">
        <v>2350</v>
      </c>
      <c r="AD59" t="s">
        <v>2352</v>
      </c>
      <c r="AE59" t="s">
        <v>2257</v>
      </c>
      <c r="AF59" t="s">
        <v>2353</v>
      </c>
      <c r="AG59" t="s">
        <v>2339</v>
      </c>
      <c r="AH59" t="s">
        <v>2343</v>
      </c>
      <c r="AI59" t="s">
        <v>2338</v>
      </c>
      <c r="AJ59" t="s">
        <v>2257</v>
      </c>
      <c r="AK59" t="s">
        <v>2257</v>
      </c>
      <c r="AL59" t="s">
        <v>2354</v>
      </c>
      <c r="AM59" t="s">
        <v>2338</v>
      </c>
      <c r="AN59" t="s">
        <v>2257</v>
      </c>
      <c r="AO59" t="s">
        <v>2339</v>
      </c>
      <c r="AP59" t="s">
        <v>2355</v>
      </c>
    </row>
    <row r="60" spans="1:42" x14ac:dyDescent="0.2">
      <c r="A60" t="s">
        <v>2258</v>
      </c>
      <c r="B60" t="s">
        <v>2356</v>
      </c>
      <c r="C60" t="s">
        <v>2357</v>
      </c>
      <c r="D60" t="s">
        <v>2358</v>
      </c>
      <c r="E60" t="s">
        <v>2359</v>
      </c>
      <c r="F60" t="s">
        <v>2360</v>
      </c>
      <c r="G60" t="s">
        <v>2361</v>
      </c>
      <c r="H60" t="s">
        <v>2362</v>
      </c>
      <c r="I60" t="s">
        <v>2363</v>
      </c>
      <c r="J60" t="s">
        <v>2364</v>
      </c>
      <c r="K60" t="s">
        <v>2365</v>
      </c>
      <c r="L60" t="s">
        <v>2366</v>
      </c>
      <c r="M60" t="s">
        <v>2367</v>
      </c>
      <c r="N60" t="s">
        <v>2368</v>
      </c>
      <c r="O60" t="s">
        <v>2369</v>
      </c>
      <c r="P60" t="s">
        <v>2370</v>
      </c>
      <c r="Q60" t="s">
        <v>2371</v>
      </c>
      <c r="R60" t="s">
        <v>2372</v>
      </c>
      <c r="S60" t="s">
        <v>2373</v>
      </c>
      <c r="T60" t="s">
        <v>2364</v>
      </c>
      <c r="U60" t="s">
        <v>2374</v>
      </c>
      <c r="V60" t="s">
        <v>2375</v>
      </c>
      <c r="W60" t="s">
        <v>2376</v>
      </c>
      <c r="X60" t="s">
        <v>2377</v>
      </c>
      <c r="Y60" t="s">
        <v>2360</v>
      </c>
      <c r="Z60" t="s">
        <v>2378</v>
      </c>
      <c r="AA60" t="s">
        <v>2379</v>
      </c>
      <c r="AB60" t="s">
        <v>2380</v>
      </c>
      <c r="AC60" t="s">
        <v>2381</v>
      </c>
      <c r="AD60" t="s">
        <v>2382</v>
      </c>
      <c r="AE60" t="s">
        <v>2258</v>
      </c>
      <c r="AF60" t="s">
        <v>2383</v>
      </c>
      <c r="AG60" t="s">
        <v>2360</v>
      </c>
      <c r="AH60" t="s">
        <v>2365</v>
      </c>
      <c r="AI60" t="s">
        <v>2384</v>
      </c>
      <c r="AJ60" t="s">
        <v>2364</v>
      </c>
      <c r="AK60" t="s">
        <v>2385</v>
      </c>
      <c r="AL60" t="s">
        <v>2386</v>
      </c>
      <c r="AM60" t="s">
        <v>2387</v>
      </c>
      <c r="AN60" t="s">
        <v>2258</v>
      </c>
      <c r="AO60" t="s">
        <v>2388</v>
      </c>
      <c r="AP60" t="s">
        <v>2389</v>
      </c>
    </row>
    <row r="61" spans="1:42" x14ac:dyDescent="0.2">
      <c r="A61" t="s">
        <v>2259</v>
      </c>
      <c r="B61" t="s">
        <v>2259</v>
      </c>
      <c r="C61" t="s">
        <v>2390</v>
      </c>
      <c r="D61" t="s">
        <v>2391</v>
      </c>
      <c r="E61" t="s">
        <v>2392</v>
      </c>
      <c r="F61" t="s">
        <v>2393</v>
      </c>
      <c r="G61" t="s">
        <v>2259</v>
      </c>
      <c r="H61" t="s">
        <v>2394</v>
      </c>
      <c r="I61" t="s">
        <v>2394</v>
      </c>
      <c r="J61" t="s">
        <v>2259</v>
      </c>
      <c r="K61" t="s">
        <v>2395</v>
      </c>
      <c r="L61" t="s">
        <v>2259</v>
      </c>
      <c r="M61" t="s">
        <v>2259</v>
      </c>
      <c r="N61" t="s">
        <v>2259</v>
      </c>
      <c r="O61" t="s">
        <v>2396</v>
      </c>
      <c r="P61" t="s">
        <v>2259</v>
      </c>
      <c r="Q61" t="s">
        <v>2397</v>
      </c>
      <c r="R61" t="s">
        <v>2398</v>
      </c>
      <c r="S61" t="s">
        <v>2399</v>
      </c>
      <c r="T61" t="s">
        <v>2259</v>
      </c>
      <c r="U61" t="s">
        <v>2400</v>
      </c>
      <c r="V61" t="s">
        <v>2259</v>
      </c>
      <c r="W61" t="s">
        <v>2401</v>
      </c>
      <c r="X61" t="s">
        <v>2402</v>
      </c>
      <c r="Y61" t="s">
        <v>2393</v>
      </c>
      <c r="Z61" t="s">
        <v>2259</v>
      </c>
      <c r="AA61" t="s">
        <v>2259</v>
      </c>
      <c r="AB61" t="s">
        <v>2403</v>
      </c>
      <c r="AC61" t="s">
        <v>2259</v>
      </c>
      <c r="AD61" t="s">
        <v>2404</v>
      </c>
      <c r="AE61" t="s">
        <v>2259</v>
      </c>
      <c r="AF61" t="s">
        <v>2393</v>
      </c>
      <c r="AG61" t="s">
        <v>2393</v>
      </c>
      <c r="AH61" t="s">
        <v>2399</v>
      </c>
      <c r="AI61" t="s">
        <v>2259</v>
      </c>
      <c r="AJ61" t="s">
        <v>2399</v>
      </c>
      <c r="AK61" t="s">
        <v>2259</v>
      </c>
      <c r="AL61" t="s">
        <v>2405</v>
      </c>
      <c r="AM61" t="s">
        <v>2392</v>
      </c>
      <c r="AN61" t="s">
        <v>2259</v>
      </c>
      <c r="AO61" t="s">
        <v>2406</v>
      </c>
      <c r="AP61" t="s">
        <v>2403</v>
      </c>
    </row>
    <row r="62" spans="1:42" x14ac:dyDescent="0.2">
      <c r="A62" t="s">
        <v>967</v>
      </c>
      <c r="B62" t="s">
        <v>632</v>
      </c>
      <c r="C62" t="s">
        <v>1276</v>
      </c>
      <c r="D62" t="s">
        <v>698</v>
      </c>
      <c r="E62" t="s">
        <v>1524</v>
      </c>
      <c r="F62" t="s">
        <v>1080</v>
      </c>
      <c r="G62" t="s">
        <v>1023</v>
      </c>
      <c r="H62" t="s">
        <v>1608</v>
      </c>
      <c r="I62" t="s">
        <v>1608</v>
      </c>
      <c r="J62" t="s">
        <v>967</v>
      </c>
      <c r="K62" t="s">
        <v>1846</v>
      </c>
      <c r="L62" t="s">
        <v>1053</v>
      </c>
      <c r="M62" t="s">
        <v>1115</v>
      </c>
      <c r="N62" t="s">
        <v>1038</v>
      </c>
      <c r="O62" t="s">
        <v>1742</v>
      </c>
      <c r="P62" t="s">
        <v>1053</v>
      </c>
      <c r="Q62" t="s">
        <v>1421</v>
      </c>
      <c r="R62" t="s">
        <v>325</v>
      </c>
      <c r="S62" t="s">
        <v>1796</v>
      </c>
      <c r="T62" t="s">
        <v>967</v>
      </c>
      <c r="U62" t="s">
        <v>595</v>
      </c>
      <c r="V62" t="s">
        <v>1472</v>
      </c>
      <c r="W62" t="s">
        <v>1940</v>
      </c>
      <c r="X62" t="s">
        <v>339</v>
      </c>
      <c r="Y62" t="s">
        <v>1642</v>
      </c>
      <c r="Z62" t="s">
        <v>468</v>
      </c>
      <c r="AA62" t="s">
        <v>1023</v>
      </c>
      <c r="AB62" t="s">
        <v>1184</v>
      </c>
      <c r="AC62" t="s">
        <v>166</v>
      </c>
      <c r="AD62" t="s">
        <v>1023</v>
      </c>
      <c r="AE62" t="s">
        <v>1968</v>
      </c>
      <c r="AF62" t="s">
        <v>1080</v>
      </c>
      <c r="AG62" t="s">
        <v>967</v>
      </c>
      <c r="AH62" t="s">
        <v>1796</v>
      </c>
      <c r="AI62" t="s">
        <v>339</v>
      </c>
      <c r="AJ62" t="s">
        <v>1023</v>
      </c>
      <c r="AK62" t="s">
        <v>1053</v>
      </c>
      <c r="AL62" t="s">
        <v>214</v>
      </c>
      <c r="AM62" t="s">
        <v>1229</v>
      </c>
      <c r="AN62" t="s">
        <v>1890</v>
      </c>
      <c r="AO62" t="s">
        <v>765</v>
      </c>
      <c r="AP62" t="s">
        <v>531</v>
      </c>
    </row>
    <row r="63" spans="1:42" x14ac:dyDescent="0.2">
      <c r="A63" t="s">
        <v>2260</v>
      </c>
      <c r="B63" t="s">
        <v>2407</v>
      </c>
      <c r="C63" t="s">
        <v>2408</v>
      </c>
      <c r="D63" t="s">
        <v>2409</v>
      </c>
      <c r="E63" t="s">
        <v>2410</v>
      </c>
      <c r="F63" t="s">
        <v>2411</v>
      </c>
      <c r="G63" t="s">
        <v>2412</v>
      </c>
      <c r="H63" t="s">
        <v>2413</v>
      </c>
      <c r="I63" t="s">
        <v>2414</v>
      </c>
      <c r="J63" t="s">
        <v>2415</v>
      </c>
      <c r="K63" t="s">
        <v>2416</v>
      </c>
      <c r="L63" t="s">
        <v>2417</v>
      </c>
      <c r="M63" t="s">
        <v>2418</v>
      </c>
      <c r="N63" t="s">
        <v>2419</v>
      </c>
      <c r="O63" t="s">
        <v>2420</v>
      </c>
      <c r="P63" t="s">
        <v>2417</v>
      </c>
      <c r="Q63" t="s">
        <v>2421</v>
      </c>
      <c r="R63" t="s">
        <v>2422</v>
      </c>
      <c r="S63" t="s">
        <v>2260</v>
      </c>
      <c r="T63" t="s">
        <v>2423</v>
      </c>
      <c r="U63" t="s">
        <v>2260</v>
      </c>
      <c r="V63" t="s">
        <v>2424</v>
      </c>
      <c r="W63" t="s">
        <v>2425</v>
      </c>
      <c r="X63" t="s">
        <v>2415</v>
      </c>
      <c r="Y63" t="s">
        <v>2426</v>
      </c>
      <c r="Z63" t="s">
        <v>2427</v>
      </c>
      <c r="AA63" t="s">
        <v>2423</v>
      </c>
      <c r="AB63" t="s">
        <v>2428</v>
      </c>
      <c r="AC63" t="s">
        <v>2423</v>
      </c>
      <c r="AD63" t="s">
        <v>2429</v>
      </c>
      <c r="AE63" t="s">
        <v>2423</v>
      </c>
      <c r="AF63" t="s">
        <v>2430</v>
      </c>
      <c r="AG63" t="s">
        <v>2431</v>
      </c>
      <c r="AH63" t="s">
        <v>2432</v>
      </c>
      <c r="AI63" t="s">
        <v>2415</v>
      </c>
      <c r="AJ63" t="s">
        <v>2429</v>
      </c>
      <c r="AK63" t="s">
        <v>2417</v>
      </c>
      <c r="AL63" t="s">
        <v>2433</v>
      </c>
      <c r="AM63" t="s">
        <v>2410</v>
      </c>
      <c r="AN63" t="s">
        <v>2434</v>
      </c>
      <c r="AO63" t="s">
        <v>2435</v>
      </c>
      <c r="AP63" t="s">
        <v>2436</v>
      </c>
    </row>
    <row r="64" spans="1:42" x14ac:dyDescent="0.2">
      <c r="A64" t="s">
        <v>968</v>
      </c>
      <c r="B64" t="s">
        <v>2437</v>
      </c>
      <c r="C64" t="s">
        <v>2438</v>
      </c>
      <c r="D64" t="s">
        <v>2439</v>
      </c>
      <c r="E64" t="s">
        <v>2439</v>
      </c>
      <c r="F64" t="s">
        <v>2440</v>
      </c>
      <c r="G64" t="s">
        <v>2439</v>
      </c>
      <c r="H64" t="s">
        <v>114</v>
      </c>
      <c r="I64" t="s">
        <v>114</v>
      </c>
      <c r="J64" t="s">
        <v>732</v>
      </c>
      <c r="K64" t="s">
        <v>1847</v>
      </c>
      <c r="L64" t="s">
        <v>2439</v>
      </c>
      <c r="M64" t="s">
        <v>1116</v>
      </c>
      <c r="N64" t="s">
        <v>2439</v>
      </c>
      <c r="O64" t="s">
        <v>2439</v>
      </c>
      <c r="P64" t="s">
        <v>968</v>
      </c>
      <c r="Q64" t="s">
        <v>2441</v>
      </c>
      <c r="R64" t="s">
        <v>2442</v>
      </c>
      <c r="S64" t="s">
        <v>1797</v>
      </c>
      <c r="T64" t="s">
        <v>2439</v>
      </c>
      <c r="U64" t="s">
        <v>2439</v>
      </c>
      <c r="V64" t="s">
        <v>2443</v>
      </c>
      <c r="W64" t="s">
        <v>2444</v>
      </c>
      <c r="X64" t="s">
        <v>340</v>
      </c>
      <c r="Y64" t="s">
        <v>2445</v>
      </c>
      <c r="Z64" t="s">
        <v>2439</v>
      </c>
      <c r="AA64" t="s">
        <v>968</v>
      </c>
      <c r="AB64" t="s">
        <v>1185</v>
      </c>
      <c r="AC64" t="s">
        <v>167</v>
      </c>
      <c r="AD64" t="s">
        <v>2439</v>
      </c>
      <c r="AE64" t="s">
        <v>2439</v>
      </c>
      <c r="AF64" t="s">
        <v>2446</v>
      </c>
      <c r="AG64" t="s">
        <v>2447</v>
      </c>
      <c r="AH64" t="s">
        <v>265</v>
      </c>
      <c r="AI64" t="s">
        <v>433</v>
      </c>
      <c r="AJ64" t="s">
        <v>2439</v>
      </c>
      <c r="AK64" t="s">
        <v>66</v>
      </c>
      <c r="AL64" t="s">
        <v>2448</v>
      </c>
      <c r="AM64" t="s">
        <v>1230</v>
      </c>
      <c r="AN64" t="s">
        <v>2439</v>
      </c>
      <c r="AO64" t="s">
        <v>2449</v>
      </c>
      <c r="AP64" t="s">
        <v>2450</v>
      </c>
    </row>
    <row r="65" spans="1:42" x14ac:dyDescent="0.2">
      <c r="A65" t="s">
        <v>969</v>
      </c>
      <c r="B65" t="s">
        <v>2451</v>
      </c>
      <c r="C65" t="s">
        <v>1277</v>
      </c>
      <c r="D65" t="s">
        <v>699</v>
      </c>
      <c r="E65" t="s">
        <v>1525</v>
      </c>
      <c r="F65" t="s">
        <v>1081</v>
      </c>
      <c r="G65" t="s">
        <v>969</v>
      </c>
      <c r="H65" t="s">
        <v>1609</v>
      </c>
      <c r="I65" t="s">
        <v>1609</v>
      </c>
      <c r="J65" t="s">
        <v>341</v>
      </c>
      <c r="K65" t="s">
        <v>1848</v>
      </c>
      <c r="L65" t="s">
        <v>969</v>
      </c>
      <c r="M65" t="s">
        <v>969</v>
      </c>
      <c r="N65" t="s">
        <v>969</v>
      </c>
      <c r="O65" t="s">
        <v>2452</v>
      </c>
      <c r="P65" t="s">
        <v>969</v>
      </c>
      <c r="Q65" t="s">
        <v>1422</v>
      </c>
      <c r="R65" t="s">
        <v>326</v>
      </c>
      <c r="S65" t="s">
        <v>1798</v>
      </c>
      <c r="T65" t="s">
        <v>969</v>
      </c>
      <c r="U65" t="s">
        <v>969</v>
      </c>
      <c r="V65" t="s">
        <v>1473</v>
      </c>
      <c r="W65" t="s">
        <v>1941</v>
      </c>
      <c r="X65" t="s">
        <v>341</v>
      </c>
      <c r="Y65" t="s">
        <v>1643</v>
      </c>
      <c r="Z65" t="s">
        <v>2453</v>
      </c>
      <c r="AA65" t="s">
        <v>969</v>
      </c>
      <c r="AB65" t="s">
        <v>2454</v>
      </c>
      <c r="AC65" t="s">
        <v>1969</v>
      </c>
      <c r="AD65" t="s">
        <v>969</v>
      </c>
      <c r="AE65" t="s">
        <v>1969</v>
      </c>
      <c r="AF65" t="s">
        <v>1081</v>
      </c>
      <c r="AG65" t="s">
        <v>1643</v>
      </c>
      <c r="AH65" t="s">
        <v>1848</v>
      </c>
      <c r="AI65" t="s">
        <v>434</v>
      </c>
      <c r="AJ65" t="s">
        <v>969</v>
      </c>
      <c r="AK65" t="s">
        <v>969</v>
      </c>
      <c r="AL65" t="s">
        <v>215</v>
      </c>
      <c r="AM65" t="s">
        <v>1231</v>
      </c>
      <c r="AN65" t="s">
        <v>1891</v>
      </c>
      <c r="AO65" t="s">
        <v>766</v>
      </c>
      <c r="AP65" t="s">
        <v>532</v>
      </c>
    </row>
    <row r="66" spans="1:42" x14ac:dyDescent="0.2">
      <c r="A66" t="s">
        <v>970</v>
      </c>
      <c r="B66" t="s">
        <v>2455</v>
      </c>
      <c r="C66" t="s">
        <v>2456</v>
      </c>
      <c r="D66" t="s">
        <v>700</v>
      </c>
      <c r="E66" t="s">
        <v>1526</v>
      </c>
      <c r="F66" t="s">
        <v>1082</v>
      </c>
      <c r="G66" t="s">
        <v>1366</v>
      </c>
      <c r="H66" t="s">
        <v>1610</v>
      </c>
      <c r="I66" t="s">
        <v>1610</v>
      </c>
      <c r="J66" t="s">
        <v>733</v>
      </c>
      <c r="K66" t="s">
        <v>1849</v>
      </c>
      <c r="L66" t="s">
        <v>1054</v>
      </c>
      <c r="M66" t="s">
        <v>1117</v>
      </c>
      <c r="N66" t="s">
        <v>1040</v>
      </c>
      <c r="O66" t="s">
        <v>2457</v>
      </c>
      <c r="P66" t="s">
        <v>1054</v>
      </c>
      <c r="Q66" t="s">
        <v>1423</v>
      </c>
      <c r="R66" t="s">
        <v>327</v>
      </c>
      <c r="S66" t="s">
        <v>1799</v>
      </c>
      <c r="T66" t="s">
        <v>1331</v>
      </c>
      <c r="U66" t="s">
        <v>2458</v>
      </c>
      <c r="V66" t="s">
        <v>1474</v>
      </c>
      <c r="W66" t="s">
        <v>1942</v>
      </c>
      <c r="X66" t="s">
        <v>342</v>
      </c>
      <c r="Y66" t="s">
        <v>1644</v>
      </c>
      <c r="Z66" t="s">
        <v>633</v>
      </c>
      <c r="AA66" t="s">
        <v>1970</v>
      </c>
      <c r="AB66" t="s">
        <v>2459</v>
      </c>
      <c r="AC66" t="s">
        <v>168</v>
      </c>
      <c r="AD66" t="s">
        <v>1676</v>
      </c>
      <c r="AE66" t="s">
        <v>1970</v>
      </c>
      <c r="AF66" t="s">
        <v>1082</v>
      </c>
      <c r="AG66" t="s">
        <v>1644</v>
      </c>
      <c r="AH66" t="s">
        <v>2460</v>
      </c>
      <c r="AI66" t="s">
        <v>26</v>
      </c>
      <c r="AJ66" t="s">
        <v>1024</v>
      </c>
      <c r="AK66" t="s">
        <v>1054</v>
      </c>
      <c r="AL66" t="s">
        <v>216</v>
      </c>
      <c r="AM66" t="s">
        <v>1232</v>
      </c>
      <c r="AN66" t="s">
        <v>2461</v>
      </c>
      <c r="AO66" t="s">
        <v>767</v>
      </c>
      <c r="AP66" t="s">
        <v>2462</v>
      </c>
    </row>
    <row r="67" spans="1:42" x14ac:dyDescent="0.2">
      <c r="A67" t="s">
        <v>836</v>
      </c>
      <c r="B67" t="s">
        <v>2463</v>
      </c>
      <c r="C67" t="s">
        <v>1278</v>
      </c>
      <c r="D67" t="s">
        <v>701</v>
      </c>
      <c r="E67" t="s">
        <v>1527</v>
      </c>
      <c r="F67" t="s">
        <v>1083</v>
      </c>
      <c r="G67" t="s">
        <v>1367</v>
      </c>
      <c r="H67" t="s">
        <v>1611</v>
      </c>
      <c r="I67" t="s">
        <v>1611</v>
      </c>
      <c r="J67" t="s">
        <v>2464</v>
      </c>
      <c r="K67" t="s">
        <v>1850</v>
      </c>
      <c r="L67" t="s">
        <v>1055</v>
      </c>
      <c r="M67" t="s">
        <v>1118</v>
      </c>
      <c r="N67" t="s">
        <v>1041</v>
      </c>
      <c r="O67" t="s">
        <v>836</v>
      </c>
      <c r="P67" t="s">
        <v>1055</v>
      </c>
      <c r="Q67" t="s">
        <v>1424</v>
      </c>
      <c r="R67" t="s">
        <v>2465</v>
      </c>
      <c r="S67" t="s">
        <v>1800</v>
      </c>
      <c r="T67" t="s">
        <v>1332</v>
      </c>
      <c r="U67" t="s">
        <v>596</v>
      </c>
      <c r="V67" t="s">
        <v>1475</v>
      </c>
      <c r="W67" t="s">
        <v>1943</v>
      </c>
      <c r="X67" t="s">
        <v>343</v>
      </c>
      <c r="Y67" t="s">
        <v>1645</v>
      </c>
      <c r="Z67" t="s">
        <v>2466</v>
      </c>
      <c r="AA67" t="s">
        <v>276</v>
      </c>
      <c r="AB67" t="s">
        <v>2467</v>
      </c>
      <c r="AC67" t="s">
        <v>169</v>
      </c>
      <c r="AD67" t="s">
        <v>1677</v>
      </c>
      <c r="AE67" t="s">
        <v>2468</v>
      </c>
      <c r="AF67" t="s">
        <v>1083</v>
      </c>
      <c r="AG67" t="s">
        <v>2469</v>
      </c>
      <c r="AH67" t="s">
        <v>2470</v>
      </c>
      <c r="AI67" t="s">
        <v>435</v>
      </c>
      <c r="AJ67" t="s">
        <v>1025</v>
      </c>
      <c r="AK67" t="s">
        <v>1055</v>
      </c>
      <c r="AL67" t="s">
        <v>2471</v>
      </c>
      <c r="AM67" t="s">
        <v>1233</v>
      </c>
      <c r="AN67" t="s">
        <v>2472</v>
      </c>
      <c r="AO67" t="s">
        <v>768</v>
      </c>
      <c r="AP67" t="s">
        <v>2473</v>
      </c>
    </row>
    <row r="68" spans="1:42" x14ac:dyDescent="0.2">
      <c r="A68" t="s">
        <v>971</v>
      </c>
      <c r="B68" t="s">
        <v>971</v>
      </c>
      <c r="C68" t="s">
        <v>1186</v>
      </c>
      <c r="D68" t="s">
        <v>702</v>
      </c>
      <c r="E68" t="s">
        <v>971</v>
      </c>
      <c r="F68" t="s">
        <v>1578</v>
      </c>
      <c r="G68" t="s">
        <v>1368</v>
      </c>
      <c r="H68" t="s">
        <v>1612</v>
      </c>
      <c r="I68" t="s">
        <v>1612</v>
      </c>
      <c r="J68" t="s">
        <v>971</v>
      </c>
      <c r="K68" t="s">
        <v>971</v>
      </c>
      <c r="L68" t="s">
        <v>971</v>
      </c>
      <c r="M68" t="s">
        <v>971</v>
      </c>
      <c r="N68" t="s">
        <v>971</v>
      </c>
      <c r="O68" t="s">
        <v>2474</v>
      </c>
      <c r="P68" t="s">
        <v>971</v>
      </c>
      <c r="Q68" t="s">
        <v>1425</v>
      </c>
      <c r="R68" t="s">
        <v>328</v>
      </c>
      <c r="S68" t="s">
        <v>971</v>
      </c>
      <c r="T68" t="s">
        <v>971</v>
      </c>
      <c r="U68" t="s">
        <v>971</v>
      </c>
      <c r="V68" t="s">
        <v>971</v>
      </c>
      <c r="W68" t="s">
        <v>1944</v>
      </c>
      <c r="X68" t="s">
        <v>2475</v>
      </c>
      <c r="Y68" t="s">
        <v>1578</v>
      </c>
      <c r="Z68" t="s">
        <v>2476</v>
      </c>
      <c r="AA68" t="s">
        <v>971</v>
      </c>
      <c r="AB68" t="s">
        <v>1186</v>
      </c>
      <c r="AC68" t="s">
        <v>971</v>
      </c>
      <c r="AD68" t="s">
        <v>971</v>
      </c>
      <c r="AE68" t="s">
        <v>971</v>
      </c>
      <c r="AF68" t="s">
        <v>1084</v>
      </c>
      <c r="AG68" t="s">
        <v>1578</v>
      </c>
      <c r="AH68" t="s">
        <v>2477</v>
      </c>
      <c r="AI68" t="s">
        <v>971</v>
      </c>
      <c r="AJ68" t="s">
        <v>971</v>
      </c>
      <c r="AK68" t="s">
        <v>971</v>
      </c>
      <c r="AL68" t="s">
        <v>217</v>
      </c>
      <c r="AM68" t="s">
        <v>971</v>
      </c>
      <c r="AN68" t="s">
        <v>971</v>
      </c>
      <c r="AO68" t="s">
        <v>1084</v>
      </c>
      <c r="AP68" t="s">
        <v>2478</v>
      </c>
    </row>
    <row r="69" spans="1:42" x14ac:dyDescent="0.2">
      <c r="A69" t="s">
        <v>972</v>
      </c>
      <c r="B69" t="s">
        <v>634</v>
      </c>
      <c r="C69" t="s">
        <v>411</v>
      </c>
      <c r="D69" t="s">
        <v>703</v>
      </c>
      <c r="E69" t="s">
        <v>1528</v>
      </c>
      <c r="F69" t="s">
        <v>1085</v>
      </c>
      <c r="G69" t="s">
        <v>1369</v>
      </c>
      <c r="H69" t="s">
        <v>1613</v>
      </c>
      <c r="I69" t="s">
        <v>1613</v>
      </c>
      <c r="J69" t="s">
        <v>1851</v>
      </c>
      <c r="K69" t="s">
        <v>1851</v>
      </c>
      <c r="L69" t="s">
        <v>972</v>
      </c>
      <c r="M69" t="s">
        <v>1039</v>
      </c>
      <c r="N69" t="s">
        <v>1039</v>
      </c>
      <c r="O69" t="s">
        <v>1743</v>
      </c>
      <c r="P69" t="s">
        <v>972</v>
      </c>
      <c r="Q69" t="s">
        <v>1426</v>
      </c>
      <c r="R69" t="s">
        <v>329</v>
      </c>
      <c r="S69" t="s">
        <v>972</v>
      </c>
      <c r="T69" t="s">
        <v>1039</v>
      </c>
      <c r="U69" t="s">
        <v>972</v>
      </c>
      <c r="V69" t="s">
        <v>1476</v>
      </c>
      <c r="W69" t="s">
        <v>1945</v>
      </c>
      <c r="X69" t="s">
        <v>344</v>
      </c>
      <c r="Y69" t="s">
        <v>1646</v>
      </c>
      <c r="Z69" t="s">
        <v>469</v>
      </c>
      <c r="AA69" t="s">
        <v>972</v>
      </c>
      <c r="AB69" t="s">
        <v>1187</v>
      </c>
      <c r="AC69" t="s">
        <v>972</v>
      </c>
      <c r="AD69" t="s">
        <v>972</v>
      </c>
      <c r="AE69" t="s">
        <v>972</v>
      </c>
      <c r="AF69" t="s">
        <v>1085</v>
      </c>
      <c r="AG69" t="s">
        <v>1851</v>
      </c>
      <c r="AH69" t="s">
        <v>1851</v>
      </c>
      <c r="AI69" t="s">
        <v>1851</v>
      </c>
      <c r="AJ69" t="s">
        <v>972</v>
      </c>
      <c r="AK69" t="s">
        <v>972</v>
      </c>
      <c r="AL69" t="s">
        <v>218</v>
      </c>
      <c r="AM69" t="s">
        <v>1234</v>
      </c>
      <c r="AN69" t="s">
        <v>1892</v>
      </c>
      <c r="AO69" t="s">
        <v>769</v>
      </c>
      <c r="AP69" t="s">
        <v>533</v>
      </c>
    </row>
    <row r="70" spans="1:42" x14ac:dyDescent="0.2">
      <c r="A70" t="s">
        <v>994</v>
      </c>
      <c r="B70" t="s">
        <v>994</v>
      </c>
      <c r="C70" t="s">
        <v>994</v>
      </c>
      <c r="D70" t="s">
        <v>994</v>
      </c>
      <c r="E70" t="s">
        <v>994</v>
      </c>
      <c r="F70" t="s">
        <v>994</v>
      </c>
      <c r="G70" t="s">
        <v>994</v>
      </c>
      <c r="H70" t="s">
        <v>994</v>
      </c>
      <c r="I70" t="s">
        <v>994</v>
      </c>
      <c r="J70" t="s">
        <v>994</v>
      </c>
      <c r="K70" t="s">
        <v>994</v>
      </c>
      <c r="L70" t="s">
        <v>994</v>
      </c>
      <c r="M70" t="s">
        <v>1119</v>
      </c>
      <c r="N70" t="s">
        <v>994</v>
      </c>
      <c r="O70" t="s">
        <v>994</v>
      </c>
      <c r="P70" t="s">
        <v>994</v>
      </c>
      <c r="Q70" t="s">
        <v>994</v>
      </c>
      <c r="R70" t="s">
        <v>994</v>
      </c>
      <c r="S70" t="s">
        <v>994</v>
      </c>
      <c r="T70" t="s">
        <v>994</v>
      </c>
      <c r="U70" t="s">
        <v>994</v>
      </c>
      <c r="V70" t="s">
        <v>994</v>
      </c>
      <c r="W70" t="s">
        <v>2494</v>
      </c>
      <c r="X70" t="s">
        <v>994</v>
      </c>
      <c r="Y70" t="s">
        <v>994</v>
      </c>
      <c r="Z70" t="s">
        <v>994</v>
      </c>
      <c r="AA70" t="s">
        <v>994</v>
      </c>
      <c r="AB70" t="s">
        <v>1281</v>
      </c>
      <c r="AC70" t="s">
        <v>994</v>
      </c>
      <c r="AD70" t="s">
        <v>994</v>
      </c>
      <c r="AE70" t="s">
        <v>994</v>
      </c>
      <c r="AF70" t="s">
        <v>994</v>
      </c>
      <c r="AG70" t="s">
        <v>994</v>
      </c>
      <c r="AH70" t="s">
        <v>994</v>
      </c>
      <c r="AI70" t="s">
        <v>994</v>
      </c>
      <c r="AJ70" t="s">
        <v>994</v>
      </c>
      <c r="AK70" t="s">
        <v>994</v>
      </c>
      <c r="AL70" t="s">
        <v>219</v>
      </c>
      <c r="AM70" t="s">
        <v>1119</v>
      </c>
      <c r="AN70" t="s">
        <v>994</v>
      </c>
      <c r="AO70" t="s">
        <v>994</v>
      </c>
      <c r="AP70" t="s">
        <v>534</v>
      </c>
    </row>
    <row r="71" spans="1:42" x14ac:dyDescent="0.2">
      <c r="A71" t="s">
        <v>995</v>
      </c>
      <c r="B71" t="s">
        <v>995</v>
      </c>
      <c r="C71" t="s">
        <v>995</v>
      </c>
      <c r="D71" t="s">
        <v>995</v>
      </c>
      <c r="E71" t="s">
        <v>995</v>
      </c>
      <c r="F71" t="s">
        <v>995</v>
      </c>
      <c r="G71" t="s">
        <v>995</v>
      </c>
      <c r="H71" t="s">
        <v>995</v>
      </c>
      <c r="I71" t="s">
        <v>995</v>
      </c>
      <c r="J71" t="s">
        <v>995</v>
      </c>
      <c r="K71" t="s">
        <v>995</v>
      </c>
      <c r="L71" t="s">
        <v>995</v>
      </c>
      <c r="M71" t="s">
        <v>1120</v>
      </c>
      <c r="N71" t="s">
        <v>995</v>
      </c>
      <c r="O71" t="s">
        <v>995</v>
      </c>
      <c r="P71" t="s">
        <v>995</v>
      </c>
      <c r="Q71" t="s">
        <v>995</v>
      </c>
      <c r="R71" t="s">
        <v>995</v>
      </c>
      <c r="S71" t="s">
        <v>995</v>
      </c>
      <c r="T71" t="s">
        <v>995</v>
      </c>
      <c r="U71" t="s">
        <v>995</v>
      </c>
      <c r="V71" t="s">
        <v>995</v>
      </c>
      <c r="W71" t="s">
        <v>2495</v>
      </c>
      <c r="X71" t="s">
        <v>995</v>
      </c>
      <c r="Y71" t="s">
        <v>995</v>
      </c>
      <c r="Z71" t="s">
        <v>995</v>
      </c>
      <c r="AA71" t="s">
        <v>995</v>
      </c>
      <c r="AB71" t="s">
        <v>1282</v>
      </c>
      <c r="AC71" t="s">
        <v>995</v>
      </c>
      <c r="AD71" t="s">
        <v>995</v>
      </c>
      <c r="AE71" t="s">
        <v>995</v>
      </c>
      <c r="AF71" t="s">
        <v>995</v>
      </c>
      <c r="AG71" t="s">
        <v>995</v>
      </c>
      <c r="AH71" t="s">
        <v>995</v>
      </c>
      <c r="AI71" t="s">
        <v>995</v>
      </c>
      <c r="AJ71" t="s">
        <v>995</v>
      </c>
      <c r="AK71" t="s">
        <v>995</v>
      </c>
      <c r="AL71" t="s">
        <v>220</v>
      </c>
      <c r="AM71" t="s">
        <v>1120</v>
      </c>
      <c r="AN71" t="s">
        <v>995</v>
      </c>
      <c r="AO71" t="s">
        <v>995</v>
      </c>
      <c r="AP71" t="s">
        <v>535</v>
      </c>
    </row>
    <row r="72" spans="1:42" x14ac:dyDescent="0.2">
      <c r="A72" t="s">
        <v>996</v>
      </c>
      <c r="B72" t="s">
        <v>996</v>
      </c>
      <c r="C72" t="s">
        <v>996</v>
      </c>
      <c r="D72" t="s">
        <v>996</v>
      </c>
      <c r="E72" t="s">
        <v>996</v>
      </c>
      <c r="F72" t="s">
        <v>996</v>
      </c>
      <c r="G72" t="s">
        <v>996</v>
      </c>
      <c r="H72" t="s">
        <v>996</v>
      </c>
      <c r="I72" t="s">
        <v>996</v>
      </c>
      <c r="J72" t="s">
        <v>996</v>
      </c>
      <c r="K72" t="s">
        <v>996</v>
      </c>
      <c r="L72" t="s">
        <v>996</v>
      </c>
      <c r="M72" t="s">
        <v>1121</v>
      </c>
      <c r="N72" t="s">
        <v>996</v>
      </c>
      <c r="O72" t="s">
        <v>996</v>
      </c>
      <c r="P72" t="s">
        <v>996</v>
      </c>
      <c r="Q72" t="s">
        <v>996</v>
      </c>
      <c r="R72" t="s">
        <v>996</v>
      </c>
      <c r="S72" t="s">
        <v>996</v>
      </c>
      <c r="T72" t="s">
        <v>996</v>
      </c>
      <c r="U72" t="s">
        <v>996</v>
      </c>
      <c r="V72" t="s">
        <v>996</v>
      </c>
      <c r="W72" t="s">
        <v>2496</v>
      </c>
      <c r="X72" t="s">
        <v>996</v>
      </c>
      <c r="Y72" t="s">
        <v>996</v>
      </c>
      <c r="Z72" t="s">
        <v>996</v>
      </c>
      <c r="AA72" t="s">
        <v>996</v>
      </c>
      <c r="AB72" t="s">
        <v>1283</v>
      </c>
      <c r="AC72" t="s">
        <v>996</v>
      </c>
      <c r="AD72" t="s">
        <v>996</v>
      </c>
      <c r="AE72" t="s">
        <v>996</v>
      </c>
      <c r="AF72" t="s">
        <v>996</v>
      </c>
      <c r="AG72" t="s">
        <v>996</v>
      </c>
      <c r="AH72" t="s">
        <v>996</v>
      </c>
      <c r="AI72" t="s">
        <v>996</v>
      </c>
      <c r="AJ72" t="s">
        <v>996</v>
      </c>
      <c r="AK72" t="s">
        <v>996</v>
      </c>
      <c r="AL72" t="s">
        <v>221</v>
      </c>
      <c r="AM72" t="s">
        <v>1121</v>
      </c>
      <c r="AN72" t="s">
        <v>996</v>
      </c>
      <c r="AO72" t="s">
        <v>996</v>
      </c>
      <c r="AP72" t="s">
        <v>536</v>
      </c>
    </row>
    <row r="73" spans="1:42" x14ac:dyDescent="0.2">
      <c r="A73" t="s">
        <v>997</v>
      </c>
      <c r="B73" t="s">
        <v>997</v>
      </c>
      <c r="C73" t="s">
        <v>997</v>
      </c>
      <c r="D73" t="s">
        <v>997</v>
      </c>
      <c r="E73" t="s">
        <v>997</v>
      </c>
      <c r="F73" t="s">
        <v>997</v>
      </c>
      <c r="G73" t="s">
        <v>997</v>
      </c>
      <c r="H73" t="s">
        <v>997</v>
      </c>
      <c r="I73" t="s">
        <v>997</v>
      </c>
      <c r="J73" t="s">
        <v>997</v>
      </c>
      <c r="K73" t="s">
        <v>997</v>
      </c>
      <c r="L73" t="s">
        <v>997</v>
      </c>
      <c r="M73" t="s">
        <v>1122</v>
      </c>
      <c r="N73" t="s">
        <v>997</v>
      </c>
      <c r="O73" t="s">
        <v>997</v>
      </c>
      <c r="P73" t="s">
        <v>997</v>
      </c>
      <c r="Q73" t="s">
        <v>997</v>
      </c>
      <c r="R73" t="s">
        <v>997</v>
      </c>
      <c r="S73" t="s">
        <v>997</v>
      </c>
      <c r="T73" t="s">
        <v>997</v>
      </c>
      <c r="U73" t="s">
        <v>997</v>
      </c>
      <c r="V73" t="s">
        <v>997</v>
      </c>
      <c r="W73" t="s">
        <v>2497</v>
      </c>
      <c r="X73" t="s">
        <v>997</v>
      </c>
      <c r="Y73" t="s">
        <v>997</v>
      </c>
      <c r="Z73" t="s">
        <v>997</v>
      </c>
      <c r="AA73" t="s">
        <v>997</v>
      </c>
      <c r="AB73" t="s">
        <v>1284</v>
      </c>
      <c r="AC73" t="s">
        <v>997</v>
      </c>
      <c r="AD73" t="s">
        <v>997</v>
      </c>
      <c r="AE73" t="s">
        <v>997</v>
      </c>
      <c r="AF73" t="s">
        <v>997</v>
      </c>
      <c r="AG73" t="s">
        <v>997</v>
      </c>
      <c r="AH73" t="s">
        <v>997</v>
      </c>
      <c r="AI73" t="s">
        <v>997</v>
      </c>
      <c r="AJ73" t="s">
        <v>997</v>
      </c>
      <c r="AK73" t="s">
        <v>997</v>
      </c>
      <c r="AL73" t="s">
        <v>222</v>
      </c>
      <c r="AM73" t="s">
        <v>1122</v>
      </c>
      <c r="AN73" t="s">
        <v>997</v>
      </c>
      <c r="AO73" t="s">
        <v>997</v>
      </c>
      <c r="AP73" t="s">
        <v>537</v>
      </c>
    </row>
    <row r="74" spans="1:42" x14ac:dyDescent="0.2">
      <c r="A74" t="s">
        <v>998</v>
      </c>
      <c r="B74" t="s">
        <v>998</v>
      </c>
      <c r="C74" t="s">
        <v>998</v>
      </c>
      <c r="D74" t="s">
        <v>998</v>
      </c>
      <c r="E74" t="s">
        <v>998</v>
      </c>
      <c r="F74" t="s">
        <v>998</v>
      </c>
      <c r="G74" t="s">
        <v>998</v>
      </c>
      <c r="H74" t="s">
        <v>998</v>
      </c>
      <c r="I74" t="s">
        <v>998</v>
      </c>
      <c r="J74" t="s">
        <v>998</v>
      </c>
      <c r="K74" t="s">
        <v>998</v>
      </c>
      <c r="L74" t="s">
        <v>998</v>
      </c>
      <c r="M74" t="s">
        <v>1123</v>
      </c>
      <c r="N74" t="s">
        <v>998</v>
      </c>
      <c r="O74" t="s">
        <v>998</v>
      </c>
      <c r="P74" t="s">
        <v>998</v>
      </c>
      <c r="Q74" t="s">
        <v>1427</v>
      </c>
      <c r="R74" t="s">
        <v>998</v>
      </c>
      <c r="S74" t="s">
        <v>998</v>
      </c>
      <c r="T74" t="s">
        <v>998</v>
      </c>
      <c r="U74" t="s">
        <v>998</v>
      </c>
      <c r="V74" t="s">
        <v>998</v>
      </c>
      <c r="W74" t="s">
        <v>2498</v>
      </c>
      <c r="X74" t="s">
        <v>998</v>
      </c>
      <c r="Y74" t="s">
        <v>998</v>
      </c>
      <c r="Z74" t="s">
        <v>470</v>
      </c>
      <c r="AA74" t="s">
        <v>998</v>
      </c>
      <c r="AB74" t="s">
        <v>1285</v>
      </c>
      <c r="AC74" t="s">
        <v>998</v>
      </c>
      <c r="AD74" t="s">
        <v>998</v>
      </c>
      <c r="AE74" t="s">
        <v>998</v>
      </c>
      <c r="AF74" t="s">
        <v>998</v>
      </c>
      <c r="AG74" t="s">
        <v>998</v>
      </c>
      <c r="AH74" t="s">
        <v>998</v>
      </c>
      <c r="AI74" t="s">
        <v>998</v>
      </c>
      <c r="AJ74" t="s">
        <v>998</v>
      </c>
      <c r="AK74" t="s">
        <v>998</v>
      </c>
      <c r="AL74" t="s">
        <v>223</v>
      </c>
      <c r="AM74" t="s">
        <v>1123</v>
      </c>
      <c r="AN74" t="s">
        <v>998</v>
      </c>
      <c r="AO74" t="s">
        <v>998</v>
      </c>
      <c r="AP74" t="s">
        <v>538</v>
      </c>
    </row>
    <row r="75" spans="1:42" x14ac:dyDescent="0.2">
      <c r="A75" t="s">
        <v>999</v>
      </c>
      <c r="B75" t="s">
        <v>999</v>
      </c>
      <c r="C75" t="s">
        <v>999</v>
      </c>
      <c r="D75" t="s">
        <v>999</v>
      </c>
      <c r="E75" t="s">
        <v>999</v>
      </c>
      <c r="F75" t="s">
        <v>999</v>
      </c>
      <c r="G75" t="s">
        <v>999</v>
      </c>
      <c r="H75" t="s">
        <v>999</v>
      </c>
      <c r="I75" t="s">
        <v>999</v>
      </c>
      <c r="J75" t="s">
        <v>999</v>
      </c>
      <c r="K75" t="s">
        <v>999</v>
      </c>
      <c r="L75" t="s">
        <v>999</v>
      </c>
      <c r="M75" t="s">
        <v>1124</v>
      </c>
      <c r="N75" t="s">
        <v>999</v>
      </c>
      <c r="O75" t="s">
        <v>999</v>
      </c>
      <c r="P75" t="s">
        <v>999</v>
      </c>
      <c r="Q75" t="s">
        <v>1428</v>
      </c>
      <c r="R75" t="s">
        <v>999</v>
      </c>
      <c r="S75" t="s">
        <v>999</v>
      </c>
      <c r="T75" t="s">
        <v>999</v>
      </c>
      <c r="U75" t="s">
        <v>999</v>
      </c>
      <c r="V75" t="s">
        <v>999</v>
      </c>
      <c r="W75" t="s">
        <v>2499</v>
      </c>
      <c r="X75" t="s">
        <v>999</v>
      </c>
      <c r="Y75" t="s">
        <v>999</v>
      </c>
      <c r="Z75" t="s">
        <v>471</v>
      </c>
      <c r="AA75" t="s">
        <v>999</v>
      </c>
      <c r="AB75" t="s">
        <v>1286</v>
      </c>
      <c r="AC75" t="s">
        <v>999</v>
      </c>
      <c r="AD75" t="s">
        <v>999</v>
      </c>
      <c r="AE75" t="s">
        <v>999</v>
      </c>
      <c r="AF75" t="s">
        <v>999</v>
      </c>
      <c r="AG75" t="s">
        <v>999</v>
      </c>
      <c r="AH75" t="s">
        <v>999</v>
      </c>
      <c r="AI75" t="s">
        <v>999</v>
      </c>
      <c r="AJ75" t="s">
        <v>999</v>
      </c>
      <c r="AK75" t="s">
        <v>999</v>
      </c>
      <c r="AL75" t="s">
        <v>224</v>
      </c>
      <c r="AM75" t="s">
        <v>1124</v>
      </c>
      <c r="AN75" t="s">
        <v>999</v>
      </c>
      <c r="AO75" t="s">
        <v>999</v>
      </c>
      <c r="AP75" t="s">
        <v>539</v>
      </c>
    </row>
    <row r="76" spans="1:42" x14ac:dyDescent="0.2">
      <c r="A76" t="s">
        <v>1000</v>
      </c>
      <c r="B76" t="s">
        <v>1000</v>
      </c>
      <c r="C76" t="s">
        <v>1000</v>
      </c>
      <c r="D76" t="s">
        <v>1000</v>
      </c>
      <c r="E76" t="s">
        <v>1000</v>
      </c>
      <c r="F76" t="s">
        <v>1000</v>
      </c>
      <c r="G76" t="s">
        <v>1000</v>
      </c>
      <c r="H76" t="s">
        <v>1000</v>
      </c>
      <c r="I76" t="s">
        <v>1000</v>
      </c>
      <c r="J76" t="s">
        <v>1000</v>
      </c>
      <c r="K76" t="s">
        <v>1000</v>
      </c>
      <c r="L76" t="s">
        <v>1000</v>
      </c>
      <c r="M76" t="s">
        <v>1125</v>
      </c>
      <c r="N76" t="s">
        <v>1000</v>
      </c>
      <c r="O76" t="s">
        <v>1000</v>
      </c>
      <c r="P76" t="s">
        <v>1000</v>
      </c>
      <c r="Q76" t="s">
        <v>1429</v>
      </c>
      <c r="R76" t="s">
        <v>1000</v>
      </c>
      <c r="S76" t="s">
        <v>1000</v>
      </c>
      <c r="T76" t="s">
        <v>1000</v>
      </c>
      <c r="U76" t="s">
        <v>1000</v>
      </c>
      <c r="V76" t="s">
        <v>1000</v>
      </c>
      <c r="W76" t="s">
        <v>2500</v>
      </c>
      <c r="X76" t="s">
        <v>1000</v>
      </c>
      <c r="Y76" t="s">
        <v>1000</v>
      </c>
      <c r="Z76" t="s">
        <v>1000</v>
      </c>
      <c r="AA76" t="s">
        <v>1000</v>
      </c>
      <c r="AB76" t="s">
        <v>1287</v>
      </c>
      <c r="AC76" t="s">
        <v>1000</v>
      </c>
      <c r="AD76" t="s">
        <v>1000</v>
      </c>
      <c r="AE76" t="s">
        <v>1000</v>
      </c>
      <c r="AF76" t="s">
        <v>1000</v>
      </c>
      <c r="AG76" t="s">
        <v>1000</v>
      </c>
      <c r="AH76" t="s">
        <v>1000</v>
      </c>
      <c r="AI76" t="s">
        <v>1000</v>
      </c>
      <c r="AJ76" t="s">
        <v>1000</v>
      </c>
      <c r="AK76" t="s">
        <v>1000</v>
      </c>
      <c r="AL76" t="s">
        <v>225</v>
      </c>
      <c r="AM76" t="s">
        <v>1125</v>
      </c>
      <c r="AN76" t="s">
        <v>1000</v>
      </c>
      <c r="AO76" t="s">
        <v>1000</v>
      </c>
      <c r="AP76" t="s">
        <v>540</v>
      </c>
    </row>
    <row r="77" spans="1:42" x14ac:dyDescent="0.2">
      <c r="A77" t="s">
        <v>1001</v>
      </c>
      <c r="B77" t="s">
        <v>1001</v>
      </c>
      <c r="C77" t="s">
        <v>1001</v>
      </c>
      <c r="D77" t="s">
        <v>1001</v>
      </c>
      <c r="E77" t="s">
        <v>1001</v>
      </c>
      <c r="F77" t="s">
        <v>1001</v>
      </c>
      <c r="G77" t="s">
        <v>1001</v>
      </c>
      <c r="H77" t="s">
        <v>1001</v>
      </c>
      <c r="I77" t="s">
        <v>1001</v>
      </c>
      <c r="J77" t="s">
        <v>1001</v>
      </c>
      <c r="K77" t="s">
        <v>1001</v>
      </c>
      <c r="L77" t="s">
        <v>1001</v>
      </c>
      <c r="M77" t="s">
        <v>1126</v>
      </c>
      <c r="N77" t="s">
        <v>1001</v>
      </c>
      <c r="O77" t="s">
        <v>1001</v>
      </c>
      <c r="P77" t="s">
        <v>1001</v>
      </c>
      <c r="Q77" t="s">
        <v>1430</v>
      </c>
      <c r="R77" t="s">
        <v>1001</v>
      </c>
      <c r="S77" t="s">
        <v>1001</v>
      </c>
      <c r="T77" t="s">
        <v>1001</v>
      </c>
      <c r="U77" t="s">
        <v>1001</v>
      </c>
      <c r="V77" t="s">
        <v>1001</v>
      </c>
      <c r="W77" t="s">
        <v>2501</v>
      </c>
      <c r="X77" t="s">
        <v>1001</v>
      </c>
      <c r="Y77" t="s">
        <v>1001</v>
      </c>
      <c r="Z77" t="s">
        <v>1001</v>
      </c>
      <c r="AA77" t="s">
        <v>1001</v>
      </c>
      <c r="AB77" t="s">
        <v>1288</v>
      </c>
      <c r="AC77" t="s">
        <v>1001</v>
      </c>
      <c r="AD77" t="s">
        <v>1001</v>
      </c>
      <c r="AE77" t="s">
        <v>1001</v>
      </c>
      <c r="AF77" t="s">
        <v>1001</v>
      </c>
      <c r="AG77" t="s">
        <v>1001</v>
      </c>
      <c r="AH77" t="s">
        <v>1001</v>
      </c>
      <c r="AI77" t="s">
        <v>1001</v>
      </c>
      <c r="AJ77" t="s">
        <v>1001</v>
      </c>
      <c r="AK77" t="s">
        <v>1001</v>
      </c>
      <c r="AL77" t="s">
        <v>226</v>
      </c>
      <c r="AM77" t="s">
        <v>1126</v>
      </c>
      <c r="AN77" t="s">
        <v>1001</v>
      </c>
      <c r="AO77" t="s">
        <v>1001</v>
      </c>
      <c r="AP77" t="s">
        <v>541</v>
      </c>
    </row>
    <row r="78" spans="1:42" x14ac:dyDescent="0.2">
      <c r="A78" t="s">
        <v>1002</v>
      </c>
      <c r="B78" t="s">
        <v>1002</v>
      </c>
      <c r="C78" t="s">
        <v>1002</v>
      </c>
      <c r="D78" t="s">
        <v>1002</v>
      </c>
      <c r="E78" t="s">
        <v>1002</v>
      </c>
      <c r="F78" t="s">
        <v>1002</v>
      </c>
      <c r="G78" t="s">
        <v>1002</v>
      </c>
      <c r="H78" t="s">
        <v>1002</v>
      </c>
      <c r="I78" t="s">
        <v>1002</v>
      </c>
      <c r="J78" t="s">
        <v>1002</v>
      </c>
      <c r="K78" t="s">
        <v>1002</v>
      </c>
      <c r="L78" t="s">
        <v>1002</v>
      </c>
      <c r="M78" t="s">
        <v>1127</v>
      </c>
      <c r="N78" t="s">
        <v>1002</v>
      </c>
      <c r="O78" t="s">
        <v>1002</v>
      </c>
      <c r="P78" t="s">
        <v>1002</v>
      </c>
      <c r="Q78" t="s">
        <v>1431</v>
      </c>
      <c r="R78" t="s">
        <v>1002</v>
      </c>
      <c r="S78" t="s">
        <v>1002</v>
      </c>
      <c r="T78" t="s">
        <v>1002</v>
      </c>
      <c r="U78" t="s">
        <v>1002</v>
      </c>
      <c r="V78" t="s">
        <v>1002</v>
      </c>
      <c r="W78" t="s">
        <v>2502</v>
      </c>
      <c r="X78" t="s">
        <v>1002</v>
      </c>
      <c r="Y78" t="s">
        <v>1002</v>
      </c>
      <c r="Z78" t="s">
        <v>1002</v>
      </c>
      <c r="AA78" t="s">
        <v>1002</v>
      </c>
      <c r="AB78" t="s">
        <v>1289</v>
      </c>
      <c r="AC78" t="s">
        <v>1002</v>
      </c>
      <c r="AD78" t="s">
        <v>1002</v>
      </c>
      <c r="AE78" t="s">
        <v>1002</v>
      </c>
      <c r="AF78" t="s">
        <v>1002</v>
      </c>
      <c r="AG78" t="s">
        <v>1002</v>
      </c>
      <c r="AH78" t="s">
        <v>1002</v>
      </c>
      <c r="AI78" t="s">
        <v>1002</v>
      </c>
      <c r="AJ78" t="s">
        <v>1002</v>
      </c>
      <c r="AK78" t="s">
        <v>1002</v>
      </c>
      <c r="AL78" t="s">
        <v>227</v>
      </c>
      <c r="AM78" t="s">
        <v>1127</v>
      </c>
      <c r="AN78" t="s">
        <v>1002</v>
      </c>
      <c r="AO78" t="s">
        <v>1002</v>
      </c>
      <c r="AP78" t="s">
        <v>542</v>
      </c>
    </row>
    <row r="79" spans="1:42" x14ac:dyDescent="0.2">
      <c r="A79" t="s">
        <v>1003</v>
      </c>
      <c r="B79" t="s">
        <v>1003</v>
      </c>
      <c r="C79" t="s">
        <v>1003</v>
      </c>
      <c r="D79" t="s">
        <v>1003</v>
      </c>
      <c r="E79" t="s">
        <v>1003</v>
      </c>
      <c r="F79" t="s">
        <v>1003</v>
      </c>
      <c r="G79" t="s">
        <v>1003</v>
      </c>
      <c r="H79" t="s">
        <v>1003</v>
      </c>
      <c r="I79" t="s">
        <v>1003</v>
      </c>
      <c r="J79" t="s">
        <v>1003</v>
      </c>
      <c r="K79" t="s">
        <v>1003</v>
      </c>
      <c r="L79" t="s">
        <v>1003</v>
      </c>
      <c r="M79" t="s">
        <v>1128</v>
      </c>
      <c r="N79" t="s">
        <v>1003</v>
      </c>
      <c r="O79" t="s">
        <v>1003</v>
      </c>
      <c r="P79" t="s">
        <v>1003</v>
      </c>
      <c r="Q79" t="s">
        <v>1432</v>
      </c>
      <c r="R79" t="s">
        <v>1003</v>
      </c>
      <c r="S79" t="s">
        <v>1003</v>
      </c>
      <c r="T79" t="s">
        <v>1003</v>
      </c>
      <c r="U79" t="s">
        <v>1003</v>
      </c>
      <c r="V79" t="s">
        <v>1003</v>
      </c>
      <c r="W79" t="s">
        <v>2503</v>
      </c>
      <c r="X79" t="s">
        <v>1003</v>
      </c>
      <c r="Y79" t="s">
        <v>1003</v>
      </c>
      <c r="Z79" t="s">
        <v>1003</v>
      </c>
      <c r="AA79" t="s">
        <v>1003</v>
      </c>
      <c r="AB79" t="s">
        <v>1290</v>
      </c>
      <c r="AC79" t="s">
        <v>1003</v>
      </c>
      <c r="AD79" t="s">
        <v>1003</v>
      </c>
      <c r="AE79" t="s">
        <v>1003</v>
      </c>
      <c r="AF79" t="s">
        <v>1003</v>
      </c>
      <c r="AG79" t="s">
        <v>1003</v>
      </c>
      <c r="AH79" t="s">
        <v>1003</v>
      </c>
      <c r="AI79" t="s">
        <v>1003</v>
      </c>
      <c r="AJ79" t="s">
        <v>1003</v>
      </c>
      <c r="AK79" t="s">
        <v>1003</v>
      </c>
      <c r="AL79" t="s">
        <v>228</v>
      </c>
      <c r="AM79" t="s">
        <v>1128</v>
      </c>
      <c r="AN79" t="s">
        <v>1003</v>
      </c>
      <c r="AO79" t="s">
        <v>1003</v>
      </c>
      <c r="AP79" t="s">
        <v>543</v>
      </c>
    </row>
    <row r="80" spans="1:42" x14ac:dyDescent="0.2">
      <c r="A80" t="s">
        <v>1004</v>
      </c>
      <c r="B80" t="s">
        <v>1004</v>
      </c>
      <c r="C80" t="s">
        <v>1004</v>
      </c>
      <c r="D80" t="s">
        <v>1004</v>
      </c>
      <c r="E80" t="s">
        <v>1004</v>
      </c>
      <c r="F80" t="s">
        <v>1004</v>
      </c>
      <c r="G80" t="s">
        <v>1004</v>
      </c>
      <c r="H80" t="s">
        <v>1004</v>
      </c>
      <c r="I80" t="s">
        <v>1004</v>
      </c>
      <c r="J80" t="s">
        <v>1004</v>
      </c>
      <c r="K80" t="s">
        <v>1004</v>
      </c>
      <c r="L80" t="s">
        <v>1004</v>
      </c>
      <c r="M80" t="s">
        <v>1129</v>
      </c>
      <c r="N80" t="s">
        <v>1004</v>
      </c>
      <c r="O80" t="s">
        <v>1004</v>
      </c>
      <c r="P80" t="s">
        <v>1004</v>
      </c>
      <c r="Q80" t="s">
        <v>1433</v>
      </c>
      <c r="R80" t="s">
        <v>1004</v>
      </c>
      <c r="S80" t="s">
        <v>1004</v>
      </c>
      <c r="T80" t="s">
        <v>1004</v>
      </c>
      <c r="U80" t="s">
        <v>1004</v>
      </c>
      <c r="V80" t="s">
        <v>1004</v>
      </c>
      <c r="W80" t="s">
        <v>2504</v>
      </c>
      <c r="X80" t="s">
        <v>1004</v>
      </c>
      <c r="Y80" t="s">
        <v>1004</v>
      </c>
      <c r="Z80" t="s">
        <v>1004</v>
      </c>
      <c r="AA80" t="s">
        <v>1004</v>
      </c>
      <c r="AB80" t="s">
        <v>1291</v>
      </c>
      <c r="AC80" t="s">
        <v>1004</v>
      </c>
      <c r="AD80" t="s">
        <v>1004</v>
      </c>
      <c r="AE80" t="s">
        <v>1004</v>
      </c>
      <c r="AF80" t="s">
        <v>1004</v>
      </c>
      <c r="AG80" t="s">
        <v>1004</v>
      </c>
      <c r="AH80" t="s">
        <v>1004</v>
      </c>
      <c r="AI80" t="s">
        <v>1004</v>
      </c>
      <c r="AJ80" t="s">
        <v>1004</v>
      </c>
      <c r="AK80" t="s">
        <v>1004</v>
      </c>
      <c r="AL80" t="s">
        <v>229</v>
      </c>
      <c r="AM80" t="s">
        <v>1129</v>
      </c>
      <c r="AN80" t="s">
        <v>1004</v>
      </c>
      <c r="AO80" t="s">
        <v>1004</v>
      </c>
      <c r="AP80" t="s">
        <v>544</v>
      </c>
    </row>
    <row r="81" spans="1:42" x14ac:dyDescent="0.2">
      <c r="A81" t="s">
        <v>1005</v>
      </c>
      <c r="B81" t="s">
        <v>1005</v>
      </c>
      <c r="C81" t="s">
        <v>1005</v>
      </c>
      <c r="D81" t="s">
        <v>1005</v>
      </c>
      <c r="E81" t="s">
        <v>1005</v>
      </c>
      <c r="F81" t="s">
        <v>1005</v>
      </c>
      <c r="G81" t="s">
        <v>1005</v>
      </c>
      <c r="H81" t="s">
        <v>1005</v>
      </c>
      <c r="I81" t="s">
        <v>1005</v>
      </c>
      <c r="J81" t="s">
        <v>1005</v>
      </c>
      <c r="K81" t="s">
        <v>1005</v>
      </c>
      <c r="L81" t="s">
        <v>1005</v>
      </c>
      <c r="M81" t="s">
        <v>1130</v>
      </c>
      <c r="N81" t="s">
        <v>1005</v>
      </c>
      <c r="O81" t="s">
        <v>1005</v>
      </c>
      <c r="P81" t="s">
        <v>1005</v>
      </c>
      <c r="Q81" t="s">
        <v>1434</v>
      </c>
      <c r="R81" t="s">
        <v>1005</v>
      </c>
      <c r="S81" t="s">
        <v>1005</v>
      </c>
      <c r="T81" t="s">
        <v>1005</v>
      </c>
      <c r="U81" t="s">
        <v>1005</v>
      </c>
      <c r="V81" t="s">
        <v>1005</v>
      </c>
      <c r="W81" t="s">
        <v>2505</v>
      </c>
      <c r="X81" t="s">
        <v>1005</v>
      </c>
      <c r="Y81" t="s">
        <v>1005</v>
      </c>
      <c r="Z81" t="s">
        <v>1005</v>
      </c>
      <c r="AA81" t="s">
        <v>1005</v>
      </c>
      <c r="AB81" t="s">
        <v>1292</v>
      </c>
      <c r="AC81" t="s">
        <v>1005</v>
      </c>
      <c r="AD81" t="s">
        <v>1005</v>
      </c>
      <c r="AE81" t="s">
        <v>1005</v>
      </c>
      <c r="AF81" t="s">
        <v>1005</v>
      </c>
      <c r="AG81" t="s">
        <v>1005</v>
      </c>
      <c r="AH81" t="s">
        <v>1005</v>
      </c>
      <c r="AI81" t="s">
        <v>1005</v>
      </c>
      <c r="AJ81" t="s">
        <v>1005</v>
      </c>
      <c r="AK81" t="s">
        <v>1005</v>
      </c>
      <c r="AL81" t="s">
        <v>230</v>
      </c>
      <c r="AM81" t="s">
        <v>1130</v>
      </c>
      <c r="AN81" t="s">
        <v>1005</v>
      </c>
      <c r="AO81" t="s">
        <v>1005</v>
      </c>
      <c r="AP81" t="s">
        <v>545</v>
      </c>
    </row>
    <row r="82" spans="1:42" x14ac:dyDescent="0.2">
      <c r="A82" t="s">
        <v>1006</v>
      </c>
      <c r="B82" t="s">
        <v>1006</v>
      </c>
      <c r="C82" t="s">
        <v>1006</v>
      </c>
      <c r="D82" t="s">
        <v>1006</v>
      </c>
      <c r="E82" t="s">
        <v>1006</v>
      </c>
      <c r="F82" t="s">
        <v>1006</v>
      </c>
      <c r="G82" t="s">
        <v>1006</v>
      </c>
      <c r="H82" t="s">
        <v>1006</v>
      </c>
      <c r="I82" t="s">
        <v>1006</v>
      </c>
      <c r="J82" t="s">
        <v>1006</v>
      </c>
      <c r="K82" t="s">
        <v>1006</v>
      </c>
      <c r="L82" t="s">
        <v>1006</v>
      </c>
      <c r="M82" t="s">
        <v>1131</v>
      </c>
      <c r="N82" t="s">
        <v>1006</v>
      </c>
      <c r="O82" t="s">
        <v>1006</v>
      </c>
      <c r="P82" t="s">
        <v>1006</v>
      </c>
      <c r="Q82" t="s">
        <v>1435</v>
      </c>
      <c r="R82" t="s">
        <v>1006</v>
      </c>
      <c r="S82" t="s">
        <v>1006</v>
      </c>
      <c r="T82" t="s">
        <v>1006</v>
      </c>
      <c r="U82" t="s">
        <v>1006</v>
      </c>
      <c r="V82" t="s">
        <v>1006</v>
      </c>
      <c r="W82" t="s">
        <v>2506</v>
      </c>
      <c r="X82" t="s">
        <v>1006</v>
      </c>
      <c r="Y82" t="s">
        <v>1006</v>
      </c>
      <c r="Z82" t="s">
        <v>472</v>
      </c>
      <c r="AA82" t="s">
        <v>1006</v>
      </c>
      <c r="AB82" t="s">
        <v>1293</v>
      </c>
      <c r="AC82" t="s">
        <v>1006</v>
      </c>
      <c r="AD82" t="s">
        <v>1006</v>
      </c>
      <c r="AE82" t="s">
        <v>1006</v>
      </c>
      <c r="AF82" t="s">
        <v>1006</v>
      </c>
      <c r="AG82" t="s">
        <v>1006</v>
      </c>
      <c r="AH82" t="s">
        <v>1006</v>
      </c>
      <c r="AI82" t="s">
        <v>1006</v>
      </c>
      <c r="AJ82" t="s">
        <v>1006</v>
      </c>
      <c r="AK82" t="s">
        <v>1006</v>
      </c>
      <c r="AL82" t="s">
        <v>231</v>
      </c>
      <c r="AM82" t="s">
        <v>1131</v>
      </c>
      <c r="AN82" t="s">
        <v>1006</v>
      </c>
      <c r="AO82" t="s">
        <v>1006</v>
      </c>
      <c r="AP82" t="s">
        <v>546</v>
      </c>
    </row>
    <row r="83" spans="1:42" x14ac:dyDescent="0.2">
      <c r="A83" t="s">
        <v>1007</v>
      </c>
      <c r="B83" t="s">
        <v>1007</v>
      </c>
      <c r="C83" t="s">
        <v>1007</v>
      </c>
      <c r="D83" t="s">
        <v>1007</v>
      </c>
      <c r="E83" t="s">
        <v>1007</v>
      </c>
      <c r="F83" t="s">
        <v>1007</v>
      </c>
      <c r="G83" t="s">
        <v>1007</v>
      </c>
      <c r="H83" t="s">
        <v>1007</v>
      </c>
      <c r="I83" t="s">
        <v>1007</v>
      </c>
      <c r="J83" t="s">
        <v>1007</v>
      </c>
      <c r="K83" t="s">
        <v>1007</v>
      </c>
      <c r="L83" t="s">
        <v>1007</v>
      </c>
      <c r="M83" t="s">
        <v>1132</v>
      </c>
      <c r="N83" t="s">
        <v>1007</v>
      </c>
      <c r="O83" t="s">
        <v>1007</v>
      </c>
      <c r="P83" t="s">
        <v>1007</v>
      </c>
      <c r="Q83" t="s">
        <v>1436</v>
      </c>
      <c r="R83" t="s">
        <v>1007</v>
      </c>
      <c r="S83" t="s">
        <v>1007</v>
      </c>
      <c r="T83" t="s">
        <v>1007</v>
      </c>
      <c r="U83" t="s">
        <v>1007</v>
      </c>
      <c r="V83" t="s">
        <v>1007</v>
      </c>
      <c r="W83" t="s">
        <v>2507</v>
      </c>
      <c r="X83" t="s">
        <v>1007</v>
      </c>
      <c r="Y83" t="s">
        <v>1007</v>
      </c>
      <c r="Z83" t="s">
        <v>473</v>
      </c>
      <c r="AA83" t="s">
        <v>1007</v>
      </c>
      <c r="AB83" t="s">
        <v>1294</v>
      </c>
      <c r="AC83" t="s">
        <v>1007</v>
      </c>
      <c r="AD83" t="s">
        <v>1007</v>
      </c>
      <c r="AE83" t="s">
        <v>1007</v>
      </c>
      <c r="AF83" t="s">
        <v>1007</v>
      </c>
      <c r="AG83" t="s">
        <v>1007</v>
      </c>
      <c r="AH83" t="s">
        <v>1007</v>
      </c>
      <c r="AI83" t="s">
        <v>1007</v>
      </c>
      <c r="AJ83" t="s">
        <v>1007</v>
      </c>
      <c r="AK83" t="s">
        <v>1007</v>
      </c>
      <c r="AL83" t="s">
        <v>232</v>
      </c>
      <c r="AM83" t="s">
        <v>1132</v>
      </c>
      <c r="AN83" t="s">
        <v>1007</v>
      </c>
      <c r="AO83" t="s">
        <v>1007</v>
      </c>
      <c r="AP83" t="s">
        <v>547</v>
      </c>
    </row>
    <row r="84" spans="1:42" x14ac:dyDescent="0.2">
      <c r="A84" t="s">
        <v>1008</v>
      </c>
      <c r="B84" t="s">
        <v>1008</v>
      </c>
      <c r="C84" t="s">
        <v>1008</v>
      </c>
      <c r="D84" t="s">
        <v>1008</v>
      </c>
      <c r="E84" t="s">
        <v>1008</v>
      </c>
      <c r="F84" t="s">
        <v>1008</v>
      </c>
      <c r="G84" t="s">
        <v>1008</v>
      </c>
      <c r="H84" t="s">
        <v>1008</v>
      </c>
      <c r="I84" t="s">
        <v>1008</v>
      </c>
      <c r="J84" t="s">
        <v>1008</v>
      </c>
      <c r="K84" t="s">
        <v>1008</v>
      </c>
      <c r="L84" t="s">
        <v>1008</v>
      </c>
      <c r="M84" t="s">
        <v>1133</v>
      </c>
      <c r="N84" t="s">
        <v>1008</v>
      </c>
      <c r="O84" t="s">
        <v>1008</v>
      </c>
      <c r="P84" t="s">
        <v>1008</v>
      </c>
      <c r="Q84" t="s">
        <v>1008</v>
      </c>
      <c r="R84" t="s">
        <v>1008</v>
      </c>
      <c r="S84" t="s">
        <v>1008</v>
      </c>
      <c r="T84" t="s">
        <v>1008</v>
      </c>
      <c r="U84" t="s">
        <v>1008</v>
      </c>
      <c r="V84" t="s">
        <v>1008</v>
      </c>
      <c r="W84" t="s">
        <v>2508</v>
      </c>
      <c r="X84" t="s">
        <v>1008</v>
      </c>
      <c r="Y84" t="s">
        <v>1008</v>
      </c>
      <c r="Z84" t="s">
        <v>474</v>
      </c>
      <c r="AA84" t="s">
        <v>1008</v>
      </c>
      <c r="AB84" t="s">
        <v>1295</v>
      </c>
      <c r="AC84" t="s">
        <v>1008</v>
      </c>
      <c r="AD84" t="s">
        <v>1008</v>
      </c>
      <c r="AE84" t="s">
        <v>1008</v>
      </c>
      <c r="AF84" t="s">
        <v>1008</v>
      </c>
      <c r="AG84" t="s">
        <v>1008</v>
      </c>
      <c r="AH84" t="s">
        <v>1008</v>
      </c>
      <c r="AI84" t="s">
        <v>1008</v>
      </c>
      <c r="AJ84" t="s">
        <v>1008</v>
      </c>
      <c r="AK84" t="s">
        <v>1008</v>
      </c>
      <c r="AL84" t="s">
        <v>233</v>
      </c>
      <c r="AM84" t="s">
        <v>1133</v>
      </c>
      <c r="AN84" t="s">
        <v>1008</v>
      </c>
      <c r="AO84" t="s">
        <v>1008</v>
      </c>
      <c r="AP84" t="s">
        <v>548</v>
      </c>
    </row>
    <row r="85" spans="1:42" x14ac:dyDescent="0.2">
      <c r="A85" t="s">
        <v>1009</v>
      </c>
      <c r="B85" t="s">
        <v>1009</v>
      </c>
      <c r="C85" t="s">
        <v>1009</v>
      </c>
      <c r="D85" t="s">
        <v>1009</v>
      </c>
      <c r="E85" t="s">
        <v>1009</v>
      </c>
      <c r="F85" t="s">
        <v>1009</v>
      </c>
      <c r="G85" t="s">
        <v>1009</v>
      </c>
      <c r="H85" t="s">
        <v>1009</v>
      </c>
      <c r="I85" t="s">
        <v>1009</v>
      </c>
      <c r="J85" t="s">
        <v>1009</v>
      </c>
      <c r="K85" t="s">
        <v>1009</v>
      </c>
      <c r="L85" t="s">
        <v>1009</v>
      </c>
      <c r="M85" t="s">
        <v>1134</v>
      </c>
      <c r="N85" t="s">
        <v>1009</v>
      </c>
      <c r="O85" t="s">
        <v>1009</v>
      </c>
      <c r="P85" t="s">
        <v>1009</v>
      </c>
      <c r="Q85" t="s">
        <v>1009</v>
      </c>
      <c r="R85" t="s">
        <v>1009</v>
      </c>
      <c r="S85" t="s">
        <v>1009</v>
      </c>
      <c r="T85" t="s">
        <v>1009</v>
      </c>
      <c r="U85" t="s">
        <v>1009</v>
      </c>
      <c r="V85" t="s">
        <v>1009</v>
      </c>
      <c r="W85" t="s">
        <v>2509</v>
      </c>
      <c r="X85" t="s">
        <v>1009</v>
      </c>
      <c r="Y85" t="s">
        <v>1009</v>
      </c>
      <c r="Z85" t="s">
        <v>474</v>
      </c>
      <c r="AA85" t="s">
        <v>1009</v>
      </c>
      <c r="AB85" t="s">
        <v>1296</v>
      </c>
      <c r="AC85" t="s">
        <v>1009</v>
      </c>
      <c r="AD85" t="s">
        <v>1009</v>
      </c>
      <c r="AE85" t="s">
        <v>1009</v>
      </c>
      <c r="AF85" t="s">
        <v>1009</v>
      </c>
      <c r="AG85" t="s">
        <v>1009</v>
      </c>
      <c r="AH85" t="s">
        <v>1009</v>
      </c>
      <c r="AI85" t="s">
        <v>1009</v>
      </c>
      <c r="AJ85" t="s">
        <v>1009</v>
      </c>
      <c r="AK85" t="s">
        <v>1009</v>
      </c>
      <c r="AL85" t="s">
        <v>234</v>
      </c>
      <c r="AM85" t="s">
        <v>1134</v>
      </c>
      <c r="AN85" t="s">
        <v>1009</v>
      </c>
      <c r="AO85" t="s">
        <v>1009</v>
      </c>
      <c r="AP85" t="s">
        <v>549</v>
      </c>
    </row>
    <row r="86" spans="1:42" x14ac:dyDescent="0.2">
      <c r="A86" t="s">
        <v>977</v>
      </c>
      <c r="B86" t="s">
        <v>635</v>
      </c>
      <c r="C86" t="s">
        <v>977</v>
      </c>
      <c r="D86" t="s">
        <v>977</v>
      </c>
      <c r="E86" t="s">
        <v>1529</v>
      </c>
      <c r="F86" t="s">
        <v>977</v>
      </c>
      <c r="G86" t="s">
        <v>1235</v>
      </c>
      <c r="H86" t="s">
        <v>115</v>
      </c>
      <c r="I86" t="s">
        <v>977</v>
      </c>
      <c r="J86" t="s">
        <v>977</v>
      </c>
      <c r="K86" t="s">
        <v>1477</v>
      </c>
      <c r="L86" t="s">
        <v>1477</v>
      </c>
      <c r="M86" t="s">
        <v>977</v>
      </c>
      <c r="N86" t="s">
        <v>977</v>
      </c>
      <c r="O86" t="s">
        <v>1744</v>
      </c>
      <c r="P86" t="s">
        <v>977</v>
      </c>
      <c r="Q86" t="s">
        <v>1437</v>
      </c>
      <c r="R86" t="s">
        <v>977</v>
      </c>
      <c r="S86" t="s">
        <v>1801</v>
      </c>
      <c r="T86" t="s">
        <v>977</v>
      </c>
      <c r="U86" t="s">
        <v>977</v>
      </c>
      <c r="V86" t="s">
        <v>977</v>
      </c>
      <c r="W86" t="s">
        <v>2510</v>
      </c>
      <c r="X86" t="s">
        <v>377</v>
      </c>
      <c r="Y86" t="s">
        <v>1647</v>
      </c>
      <c r="Z86" t="s">
        <v>475</v>
      </c>
      <c r="AA86" t="s">
        <v>1477</v>
      </c>
      <c r="AB86" t="s">
        <v>1297</v>
      </c>
      <c r="AC86" t="s">
        <v>977</v>
      </c>
      <c r="AD86" t="s">
        <v>977</v>
      </c>
      <c r="AE86" t="s">
        <v>1971</v>
      </c>
      <c r="AF86" t="s">
        <v>977</v>
      </c>
      <c r="AG86" t="s">
        <v>27</v>
      </c>
      <c r="AH86" t="s">
        <v>1477</v>
      </c>
      <c r="AI86" t="s">
        <v>977</v>
      </c>
      <c r="AJ86" t="s">
        <v>977</v>
      </c>
      <c r="AK86" t="s">
        <v>977</v>
      </c>
      <c r="AL86" t="s">
        <v>235</v>
      </c>
      <c r="AM86" t="s">
        <v>1235</v>
      </c>
      <c r="AN86" t="s">
        <v>1893</v>
      </c>
      <c r="AO86" t="s">
        <v>770</v>
      </c>
      <c r="AP86" t="s">
        <v>550</v>
      </c>
    </row>
    <row r="87" spans="1:42" x14ac:dyDescent="0.2">
      <c r="A87" t="s">
        <v>978</v>
      </c>
      <c r="B87" t="s">
        <v>636</v>
      </c>
      <c r="C87" t="s">
        <v>978</v>
      </c>
      <c r="D87" t="s">
        <v>978</v>
      </c>
      <c r="E87" t="s">
        <v>1530</v>
      </c>
      <c r="F87" t="s">
        <v>978</v>
      </c>
      <c r="G87" t="s">
        <v>1236</v>
      </c>
      <c r="H87" t="s">
        <v>116</v>
      </c>
      <c r="I87" t="s">
        <v>978</v>
      </c>
      <c r="J87" t="s">
        <v>978</v>
      </c>
      <c r="K87" t="s">
        <v>1478</v>
      </c>
      <c r="L87" t="s">
        <v>1478</v>
      </c>
      <c r="M87" t="s">
        <v>978</v>
      </c>
      <c r="N87" t="s">
        <v>978</v>
      </c>
      <c r="O87" t="s">
        <v>1745</v>
      </c>
      <c r="P87" t="s">
        <v>978</v>
      </c>
      <c r="Q87" t="s">
        <v>1438</v>
      </c>
      <c r="R87" t="s">
        <v>978</v>
      </c>
      <c r="S87" t="s">
        <v>1802</v>
      </c>
      <c r="T87" t="s">
        <v>978</v>
      </c>
      <c r="U87" t="s">
        <v>978</v>
      </c>
      <c r="V87" t="s">
        <v>978</v>
      </c>
      <c r="W87" t="s">
        <v>2511</v>
      </c>
      <c r="X87" t="s">
        <v>378</v>
      </c>
      <c r="Y87" t="s">
        <v>1648</v>
      </c>
      <c r="Z87" t="s">
        <v>476</v>
      </c>
      <c r="AA87" t="s">
        <v>1478</v>
      </c>
      <c r="AB87" t="s">
        <v>1298</v>
      </c>
      <c r="AC87" t="s">
        <v>978</v>
      </c>
      <c r="AD87" t="s">
        <v>978</v>
      </c>
      <c r="AE87" t="s">
        <v>1972</v>
      </c>
      <c r="AF87" t="s">
        <v>978</v>
      </c>
      <c r="AG87" t="s">
        <v>28</v>
      </c>
      <c r="AH87" t="s">
        <v>1478</v>
      </c>
      <c r="AI87" t="s">
        <v>978</v>
      </c>
      <c r="AJ87" t="s">
        <v>978</v>
      </c>
      <c r="AK87" t="s">
        <v>978</v>
      </c>
      <c r="AL87" t="s">
        <v>236</v>
      </c>
      <c r="AM87" t="s">
        <v>1236</v>
      </c>
      <c r="AN87" t="s">
        <v>1894</v>
      </c>
      <c r="AO87" t="s">
        <v>771</v>
      </c>
      <c r="AP87" t="s">
        <v>551</v>
      </c>
    </row>
    <row r="88" spans="1:42" x14ac:dyDescent="0.2">
      <c r="A88" t="s">
        <v>979</v>
      </c>
      <c r="B88" t="s">
        <v>637</v>
      </c>
      <c r="C88" t="s">
        <v>979</v>
      </c>
      <c r="D88" t="s">
        <v>979</v>
      </c>
      <c r="E88" t="s">
        <v>1531</v>
      </c>
      <c r="F88" t="s">
        <v>979</v>
      </c>
      <c r="G88" t="s">
        <v>1237</v>
      </c>
      <c r="H88" t="s">
        <v>117</v>
      </c>
      <c r="I88" t="s">
        <v>979</v>
      </c>
      <c r="J88" t="s">
        <v>979</v>
      </c>
      <c r="K88" t="s">
        <v>1479</v>
      </c>
      <c r="L88" t="s">
        <v>1479</v>
      </c>
      <c r="M88" t="s">
        <v>979</v>
      </c>
      <c r="N88" t="s">
        <v>979</v>
      </c>
      <c r="O88" t="s">
        <v>1746</v>
      </c>
      <c r="P88" t="s">
        <v>979</v>
      </c>
      <c r="Q88" t="s">
        <v>1439</v>
      </c>
      <c r="R88" t="s">
        <v>979</v>
      </c>
      <c r="S88" t="s">
        <v>1803</v>
      </c>
      <c r="T88" t="s">
        <v>979</v>
      </c>
      <c r="U88" t="s">
        <v>979</v>
      </c>
      <c r="V88" t="s">
        <v>979</v>
      </c>
      <c r="W88" t="s">
        <v>2512</v>
      </c>
      <c r="X88" t="s">
        <v>379</v>
      </c>
      <c r="Y88" t="s">
        <v>1649</v>
      </c>
      <c r="Z88" t="s">
        <v>477</v>
      </c>
      <c r="AA88" t="s">
        <v>1479</v>
      </c>
      <c r="AB88" t="s">
        <v>1299</v>
      </c>
      <c r="AC88" t="s">
        <v>979</v>
      </c>
      <c r="AD88" t="s">
        <v>979</v>
      </c>
      <c r="AE88" t="s">
        <v>1973</v>
      </c>
      <c r="AF88" t="s">
        <v>979</v>
      </c>
      <c r="AG88" t="s">
        <v>29</v>
      </c>
      <c r="AH88" t="s">
        <v>1479</v>
      </c>
      <c r="AI88" t="s">
        <v>979</v>
      </c>
      <c r="AJ88" t="s">
        <v>979</v>
      </c>
      <c r="AK88" t="s">
        <v>979</v>
      </c>
      <c r="AL88" t="s">
        <v>237</v>
      </c>
      <c r="AM88" t="s">
        <v>1237</v>
      </c>
      <c r="AN88" t="s">
        <v>1895</v>
      </c>
      <c r="AO88" t="s">
        <v>772</v>
      </c>
      <c r="AP88" t="s">
        <v>552</v>
      </c>
    </row>
    <row r="89" spans="1:42" x14ac:dyDescent="0.2">
      <c r="A89" t="s">
        <v>980</v>
      </c>
      <c r="B89" t="s">
        <v>638</v>
      </c>
      <c r="C89" t="s">
        <v>980</v>
      </c>
      <c r="D89" t="s">
        <v>980</v>
      </c>
      <c r="E89" t="s">
        <v>1532</v>
      </c>
      <c r="F89" t="s">
        <v>980</v>
      </c>
      <c r="G89" t="s">
        <v>1238</v>
      </c>
      <c r="H89" t="s">
        <v>118</v>
      </c>
      <c r="I89" t="s">
        <v>980</v>
      </c>
      <c r="J89" t="s">
        <v>980</v>
      </c>
      <c r="K89" t="s">
        <v>1480</v>
      </c>
      <c r="L89" t="s">
        <v>1480</v>
      </c>
      <c r="M89" t="s">
        <v>980</v>
      </c>
      <c r="N89" t="s">
        <v>980</v>
      </c>
      <c r="O89" t="s">
        <v>1747</v>
      </c>
      <c r="P89" t="s">
        <v>980</v>
      </c>
      <c r="Q89" t="s">
        <v>1440</v>
      </c>
      <c r="R89" t="s">
        <v>980</v>
      </c>
      <c r="S89" t="s">
        <v>1804</v>
      </c>
      <c r="T89" t="s">
        <v>980</v>
      </c>
      <c r="U89" t="s">
        <v>980</v>
      </c>
      <c r="V89" t="s">
        <v>980</v>
      </c>
      <c r="W89" t="s">
        <v>2513</v>
      </c>
      <c r="X89" t="s">
        <v>380</v>
      </c>
      <c r="Y89" t="s">
        <v>1650</v>
      </c>
      <c r="Z89" t="s">
        <v>478</v>
      </c>
      <c r="AA89" t="s">
        <v>1480</v>
      </c>
      <c r="AB89" t="s">
        <v>1300</v>
      </c>
      <c r="AC89" t="s">
        <v>980</v>
      </c>
      <c r="AD89" t="s">
        <v>980</v>
      </c>
      <c r="AE89" t="s">
        <v>1974</v>
      </c>
      <c r="AF89" t="s">
        <v>980</v>
      </c>
      <c r="AG89" t="s">
        <v>30</v>
      </c>
      <c r="AH89" t="s">
        <v>1480</v>
      </c>
      <c r="AI89" t="s">
        <v>980</v>
      </c>
      <c r="AJ89" t="s">
        <v>980</v>
      </c>
      <c r="AK89" t="s">
        <v>980</v>
      </c>
      <c r="AL89" t="s">
        <v>238</v>
      </c>
      <c r="AM89" t="s">
        <v>1238</v>
      </c>
      <c r="AN89" t="s">
        <v>1896</v>
      </c>
      <c r="AO89" t="s">
        <v>773</v>
      </c>
      <c r="AP89" t="s">
        <v>553</v>
      </c>
    </row>
    <row r="90" spans="1:42" x14ac:dyDescent="0.2">
      <c r="A90" t="s">
        <v>981</v>
      </c>
      <c r="B90" t="s">
        <v>639</v>
      </c>
      <c r="C90" t="s">
        <v>981</v>
      </c>
      <c r="D90" t="s">
        <v>981</v>
      </c>
      <c r="E90" t="s">
        <v>1533</v>
      </c>
      <c r="F90" t="s">
        <v>981</v>
      </c>
      <c r="G90" t="s">
        <v>1239</v>
      </c>
      <c r="H90" t="s">
        <v>119</v>
      </c>
      <c r="I90" t="s">
        <v>981</v>
      </c>
      <c r="J90" t="s">
        <v>981</v>
      </c>
      <c r="K90" t="s">
        <v>1481</v>
      </c>
      <c r="L90" t="s">
        <v>1481</v>
      </c>
      <c r="M90" t="s">
        <v>981</v>
      </c>
      <c r="N90" t="s">
        <v>981</v>
      </c>
      <c r="O90" t="s">
        <v>1748</v>
      </c>
      <c r="P90" t="s">
        <v>981</v>
      </c>
      <c r="Q90" t="s">
        <v>1441</v>
      </c>
      <c r="R90" t="s">
        <v>981</v>
      </c>
      <c r="S90" t="s">
        <v>1805</v>
      </c>
      <c r="T90" t="s">
        <v>981</v>
      </c>
      <c r="U90" t="s">
        <v>981</v>
      </c>
      <c r="V90" t="s">
        <v>981</v>
      </c>
      <c r="W90" t="s">
        <v>2514</v>
      </c>
      <c r="X90" t="s">
        <v>381</v>
      </c>
      <c r="Y90" t="s">
        <v>1651</v>
      </c>
      <c r="Z90" t="s">
        <v>479</v>
      </c>
      <c r="AA90" t="s">
        <v>1481</v>
      </c>
      <c r="AB90" t="s">
        <v>1301</v>
      </c>
      <c r="AC90" t="s">
        <v>981</v>
      </c>
      <c r="AD90" t="s">
        <v>981</v>
      </c>
      <c r="AE90" t="s">
        <v>1975</v>
      </c>
      <c r="AF90" t="s">
        <v>981</v>
      </c>
      <c r="AG90" t="s">
        <v>31</v>
      </c>
      <c r="AH90" t="s">
        <v>1481</v>
      </c>
      <c r="AI90" t="s">
        <v>981</v>
      </c>
      <c r="AJ90" t="s">
        <v>981</v>
      </c>
      <c r="AK90" t="s">
        <v>981</v>
      </c>
      <c r="AL90" t="s">
        <v>239</v>
      </c>
      <c r="AM90" t="s">
        <v>1239</v>
      </c>
      <c r="AN90" t="s">
        <v>1897</v>
      </c>
      <c r="AO90" t="s">
        <v>774</v>
      </c>
      <c r="AP90" t="s">
        <v>554</v>
      </c>
    </row>
    <row r="91" spans="1:42" x14ac:dyDescent="0.2">
      <c r="A91" t="s">
        <v>982</v>
      </c>
      <c r="B91" t="s">
        <v>640</v>
      </c>
      <c r="C91" t="s">
        <v>982</v>
      </c>
      <c r="D91" t="s">
        <v>982</v>
      </c>
      <c r="E91" t="s">
        <v>1534</v>
      </c>
      <c r="F91" t="s">
        <v>982</v>
      </c>
      <c r="G91" t="s">
        <v>1240</v>
      </c>
      <c r="H91" t="s">
        <v>120</v>
      </c>
      <c r="I91" t="s">
        <v>982</v>
      </c>
      <c r="J91" t="s">
        <v>982</v>
      </c>
      <c r="K91" t="s">
        <v>1482</v>
      </c>
      <c r="L91" t="s">
        <v>1482</v>
      </c>
      <c r="M91" t="s">
        <v>982</v>
      </c>
      <c r="N91" t="s">
        <v>982</v>
      </c>
      <c r="O91" t="s">
        <v>1749</v>
      </c>
      <c r="P91" t="s">
        <v>982</v>
      </c>
      <c r="Q91" t="s">
        <v>1442</v>
      </c>
      <c r="R91" t="s">
        <v>982</v>
      </c>
      <c r="S91" t="s">
        <v>1806</v>
      </c>
      <c r="T91" t="s">
        <v>982</v>
      </c>
      <c r="U91" t="s">
        <v>982</v>
      </c>
      <c r="V91" t="s">
        <v>982</v>
      </c>
      <c r="W91" t="s">
        <v>2515</v>
      </c>
      <c r="X91" t="s">
        <v>382</v>
      </c>
      <c r="Y91" t="s">
        <v>1652</v>
      </c>
      <c r="Z91" t="s">
        <v>480</v>
      </c>
      <c r="AA91" t="s">
        <v>1482</v>
      </c>
      <c r="AB91" t="s">
        <v>1302</v>
      </c>
      <c r="AC91" t="s">
        <v>982</v>
      </c>
      <c r="AD91" t="s">
        <v>982</v>
      </c>
      <c r="AE91" t="s">
        <v>1976</v>
      </c>
      <c r="AF91" t="s">
        <v>982</v>
      </c>
      <c r="AG91" t="s">
        <v>32</v>
      </c>
      <c r="AH91" t="s">
        <v>1482</v>
      </c>
      <c r="AI91" t="s">
        <v>982</v>
      </c>
      <c r="AJ91" t="s">
        <v>982</v>
      </c>
      <c r="AK91" t="s">
        <v>982</v>
      </c>
      <c r="AL91" t="s">
        <v>240</v>
      </c>
      <c r="AM91" t="s">
        <v>1240</v>
      </c>
      <c r="AN91" t="s">
        <v>1898</v>
      </c>
      <c r="AO91" t="s">
        <v>775</v>
      </c>
      <c r="AP91" t="s">
        <v>555</v>
      </c>
    </row>
    <row r="92" spans="1:42" x14ac:dyDescent="0.2">
      <c r="A92" t="s">
        <v>983</v>
      </c>
      <c r="B92" t="s">
        <v>641</v>
      </c>
      <c r="C92" t="s">
        <v>983</v>
      </c>
      <c r="D92" t="s">
        <v>983</v>
      </c>
      <c r="E92" t="s">
        <v>1535</v>
      </c>
      <c r="F92" t="s">
        <v>983</v>
      </c>
      <c r="G92" t="s">
        <v>1241</v>
      </c>
      <c r="H92" t="s">
        <v>121</v>
      </c>
      <c r="I92" t="s">
        <v>983</v>
      </c>
      <c r="J92" t="s">
        <v>983</v>
      </c>
      <c r="K92" t="s">
        <v>1483</v>
      </c>
      <c r="L92" t="s">
        <v>1483</v>
      </c>
      <c r="M92" t="s">
        <v>983</v>
      </c>
      <c r="N92" t="s">
        <v>983</v>
      </c>
      <c r="O92" t="s">
        <v>1750</v>
      </c>
      <c r="P92" t="s">
        <v>983</v>
      </c>
      <c r="Q92" t="s">
        <v>1443</v>
      </c>
      <c r="R92" t="s">
        <v>983</v>
      </c>
      <c r="S92" t="s">
        <v>1807</v>
      </c>
      <c r="T92" t="s">
        <v>983</v>
      </c>
      <c r="U92" t="s">
        <v>983</v>
      </c>
      <c r="V92" t="s">
        <v>983</v>
      </c>
      <c r="W92" t="s">
        <v>2516</v>
      </c>
      <c r="X92" t="s">
        <v>383</v>
      </c>
      <c r="Y92" t="s">
        <v>1653</v>
      </c>
      <c r="Z92" t="s">
        <v>481</v>
      </c>
      <c r="AA92" t="s">
        <v>1483</v>
      </c>
      <c r="AB92" t="s">
        <v>1303</v>
      </c>
      <c r="AC92" t="s">
        <v>983</v>
      </c>
      <c r="AD92" t="s">
        <v>983</v>
      </c>
      <c r="AE92" t="s">
        <v>1977</v>
      </c>
      <c r="AF92" t="s">
        <v>983</v>
      </c>
      <c r="AG92" t="s">
        <v>33</v>
      </c>
      <c r="AH92" t="s">
        <v>1483</v>
      </c>
      <c r="AI92" t="s">
        <v>983</v>
      </c>
      <c r="AJ92" t="s">
        <v>983</v>
      </c>
      <c r="AK92" t="s">
        <v>983</v>
      </c>
      <c r="AL92" t="s">
        <v>241</v>
      </c>
      <c r="AM92" t="s">
        <v>1241</v>
      </c>
      <c r="AN92" t="s">
        <v>1899</v>
      </c>
      <c r="AO92" t="s">
        <v>776</v>
      </c>
      <c r="AP92" t="s">
        <v>556</v>
      </c>
    </row>
    <row r="93" spans="1:42" x14ac:dyDescent="0.2">
      <c r="A93" t="s">
        <v>984</v>
      </c>
      <c r="B93" t="s">
        <v>642</v>
      </c>
      <c r="C93" t="s">
        <v>984</v>
      </c>
      <c r="D93" t="s">
        <v>984</v>
      </c>
      <c r="E93" t="s">
        <v>1536</v>
      </c>
      <c r="F93" t="s">
        <v>984</v>
      </c>
      <c r="G93" t="s">
        <v>1242</v>
      </c>
      <c r="H93" t="s">
        <v>122</v>
      </c>
      <c r="I93" t="s">
        <v>984</v>
      </c>
      <c r="J93" t="s">
        <v>984</v>
      </c>
      <c r="K93" t="s">
        <v>1484</v>
      </c>
      <c r="L93" t="s">
        <v>1484</v>
      </c>
      <c r="M93" t="s">
        <v>984</v>
      </c>
      <c r="N93" t="s">
        <v>984</v>
      </c>
      <c r="O93" t="s">
        <v>1751</v>
      </c>
      <c r="P93" t="s">
        <v>984</v>
      </c>
      <c r="Q93" t="s">
        <v>1444</v>
      </c>
      <c r="R93" t="s">
        <v>984</v>
      </c>
      <c r="S93" t="s">
        <v>1808</v>
      </c>
      <c r="T93" t="s">
        <v>984</v>
      </c>
      <c r="U93" t="s">
        <v>984</v>
      </c>
      <c r="V93" t="s">
        <v>984</v>
      </c>
      <c r="W93" t="s">
        <v>2517</v>
      </c>
      <c r="X93" t="s">
        <v>384</v>
      </c>
      <c r="Y93" t="s">
        <v>1654</v>
      </c>
      <c r="Z93" t="s">
        <v>482</v>
      </c>
      <c r="AA93" t="s">
        <v>1484</v>
      </c>
      <c r="AB93" t="s">
        <v>1304</v>
      </c>
      <c r="AC93" t="s">
        <v>984</v>
      </c>
      <c r="AD93" t="s">
        <v>984</v>
      </c>
      <c r="AE93" t="s">
        <v>1978</v>
      </c>
      <c r="AF93" t="s">
        <v>984</v>
      </c>
      <c r="AG93" t="s">
        <v>34</v>
      </c>
      <c r="AH93" t="s">
        <v>1484</v>
      </c>
      <c r="AI93" t="s">
        <v>984</v>
      </c>
      <c r="AJ93" t="s">
        <v>984</v>
      </c>
      <c r="AK93" t="s">
        <v>984</v>
      </c>
      <c r="AL93" t="s">
        <v>242</v>
      </c>
      <c r="AM93" t="s">
        <v>1242</v>
      </c>
      <c r="AN93" t="s">
        <v>1900</v>
      </c>
      <c r="AO93" t="s">
        <v>777</v>
      </c>
      <c r="AP93" t="s">
        <v>557</v>
      </c>
    </row>
    <row r="94" spans="1:42" x14ac:dyDescent="0.2">
      <c r="A94" t="s">
        <v>1056</v>
      </c>
      <c r="B94" t="s">
        <v>643</v>
      </c>
      <c r="C94" t="s">
        <v>1056</v>
      </c>
      <c r="D94" t="s">
        <v>1056</v>
      </c>
      <c r="E94" t="s">
        <v>1537</v>
      </c>
      <c r="F94" t="s">
        <v>1056</v>
      </c>
      <c r="G94" t="s">
        <v>1243</v>
      </c>
      <c r="H94" t="s">
        <v>123</v>
      </c>
      <c r="I94" t="s">
        <v>1056</v>
      </c>
      <c r="J94" t="s">
        <v>1056</v>
      </c>
      <c r="K94" t="s">
        <v>1485</v>
      </c>
      <c r="L94" t="s">
        <v>1485</v>
      </c>
      <c r="M94" t="s">
        <v>1056</v>
      </c>
      <c r="N94" t="s">
        <v>1056</v>
      </c>
      <c r="O94" t="s">
        <v>1752</v>
      </c>
      <c r="P94" t="s">
        <v>1056</v>
      </c>
      <c r="Q94" t="s">
        <v>1445</v>
      </c>
      <c r="R94" t="s">
        <v>1056</v>
      </c>
      <c r="S94" t="s">
        <v>1809</v>
      </c>
      <c r="T94" t="s">
        <v>1056</v>
      </c>
      <c r="U94" t="s">
        <v>1056</v>
      </c>
      <c r="V94" t="s">
        <v>1056</v>
      </c>
      <c r="W94" t="s">
        <v>2518</v>
      </c>
      <c r="X94" t="s">
        <v>385</v>
      </c>
      <c r="Y94" t="s">
        <v>1655</v>
      </c>
      <c r="Z94" t="s">
        <v>483</v>
      </c>
      <c r="AA94" t="s">
        <v>1485</v>
      </c>
      <c r="AB94" t="s">
        <v>1305</v>
      </c>
      <c r="AC94" t="s">
        <v>1056</v>
      </c>
      <c r="AD94" t="s">
        <v>1056</v>
      </c>
      <c r="AE94" t="s">
        <v>1979</v>
      </c>
      <c r="AF94" t="s">
        <v>1056</v>
      </c>
      <c r="AG94" t="s">
        <v>35</v>
      </c>
      <c r="AH94" t="s">
        <v>1485</v>
      </c>
      <c r="AI94" t="s">
        <v>1056</v>
      </c>
      <c r="AJ94" t="s">
        <v>1056</v>
      </c>
      <c r="AK94" t="s">
        <v>1056</v>
      </c>
      <c r="AL94" t="s">
        <v>243</v>
      </c>
      <c r="AM94" t="s">
        <v>1243</v>
      </c>
      <c r="AN94" t="s">
        <v>1901</v>
      </c>
      <c r="AO94" t="s">
        <v>778</v>
      </c>
      <c r="AP94" t="s">
        <v>558</v>
      </c>
    </row>
    <row r="95" spans="1:42" x14ac:dyDescent="0.2">
      <c r="A95" t="s">
        <v>1057</v>
      </c>
      <c r="B95" t="s">
        <v>644</v>
      </c>
      <c r="C95" t="s">
        <v>1057</v>
      </c>
      <c r="D95" t="s">
        <v>1057</v>
      </c>
      <c r="E95" t="s">
        <v>1538</v>
      </c>
      <c r="F95" t="s">
        <v>1057</v>
      </c>
      <c r="G95" t="s">
        <v>1244</v>
      </c>
      <c r="H95" t="s">
        <v>124</v>
      </c>
      <c r="I95" t="s">
        <v>1057</v>
      </c>
      <c r="J95" t="s">
        <v>1057</v>
      </c>
      <c r="K95" t="s">
        <v>1486</v>
      </c>
      <c r="L95" t="s">
        <v>1486</v>
      </c>
      <c r="M95" t="s">
        <v>1057</v>
      </c>
      <c r="N95" t="s">
        <v>1057</v>
      </c>
      <c r="O95" t="s">
        <v>1753</v>
      </c>
      <c r="P95" t="s">
        <v>1057</v>
      </c>
      <c r="Q95" t="s">
        <v>1446</v>
      </c>
      <c r="R95" t="s">
        <v>1057</v>
      </c>
      <c r="S95" t="s">
        <v>1810</v>
      </c>
      <c r="T95" t="s">
        <v>1057</v>
      </c>
      <c r="U95" t="s">
        <v>1057</v>
      </c>
      <c r="V95" t="s">
        <v>1057</v>
      </c>
      <c r="W95" t="s">
        <v>2519</v>
      </c>
      <c r="X95" t="s">
        <v>386</v>
      </c>
      <c r="Y95" t="s">
        <v>1656</v>
      </c>
      <c r="Z95" t="s">
        <v>484</v>
      </c>
      <c r="AA95" t="s">
        <v>1486</v>
      </c>
      <c r="AB95" t="s">
        <v>1306</v>
      </c>
      <c r="AC95" t="s">
        <v>1057</v>
      </c>
      <c r="AD95" t="s">
        <v>1057</v>
      </c>
      <c r="AE95" t="s">
        <v>1980</v>
      </c>
      <c r="AF95" t="s">
        <v>1057</v>
      </c>
      <c r="AG95" t="s">
        <v>36</v>
      </c>
      <c r="AH95" t="s">
        <v>1486</v>
      </c>
      <c r="AI95" t="s">
        <v>1057</v>
      </c>
      <c r="AJ95" t="s">
        <v>1057</v>
      </c>
      <c r="AK95" t="s">
        <v>1057</v>
      </c>
      <c r="AL95" t="s">
        <v>244</v>
      </c>
      <c r="AM95" t="s">
        <v>1244</v>
      </c>
      <c r="AN95" t="s">
        <v>1902</v>
      </c>
      <c r="AO95" t="s">
        <v>779</v>
      </c>
      <c r="AP95" t="s">
        <v>559</v>
      </c>
    </row>
    <row r="96" spans="1:42" x14ac:dyDescent="0.2">
      <c r="A96" t="s">
        <v>1058</v>
      </c>
      <c r="B96" t="s">
        <v>645</v>
      </c>
      <c r="C96" t="s">
        <v>1058</v>
      </c>
      <c r="D96" t="s">
        <v>1058</v>
      </c>
      <c r="E96" t="s">
        <v>1539</v>
      </c>
      <c r="F96" t="s">
        <v>1058</v>
      </c>
      <c r="G96" t="s">
        <v>1245</v>
      </c>
      <c r="H96" t="s">
        <v>125</v>
      </c>
      <c r="I96" t="s">
        <v>1058</v>
      </c>
      <c r="J96" t="s">
        <v>1058</v>
      </c>
      <c r="K96" t="s">
        <v>1487</v>
      </c>
      <c r="L96" t="s">
        <v>1487</v>
      </c>
      <c r="M96" t="s">
        <v>1058</v>
      </c>
      <c r="N96" t="s">
        <v>1058</v>
      </c>
      <c r="O96" t="s">
        <v>1754</v>
      </c>
      <c r="P96" t="s">
        <v>1058</v>
      </c>
      <c r="Q96" t="s">
        <v>1447</v>
      </c>
      <c r="R96" t="s">
        <v>1058</v>
      </c>
      <c r="S96" t="s">
        <v>1811</v>
      </c>
      <c r="T96" t="s">
        <v>1058</v>
      </c>
      <c r="U96" t="s">
        <v>1058</v>
      </c>
      <c r="V96" t="s">
        <v>1058</v>
      </c>
      <c r="W96" t="s">
        <v>2520</v>
      </c>
      <c r="X96" t="s">
        <v>387</v>
      </c>
      <c r="Y96" t="s">
        <v>1657</v>
      </c>
      <c r="Z96" t="s">
        <v>485</v>
      </c>
      <c r="AA96" t="s">
        <v>1487</v>
      </c>
      <c r="AB96" t="s">
        <v>1307</v>
      </c>
      <c r="AC96" t="s">
        <v>1058</v>
      </c>
      <c r="AD96" t="s">
        <v>1058</v>
      </c>
      <c r="AE96" t="s">
        <v>1981</v>
      </c>
      <c r="AF96" t="s">
        <v>1058</v>
      </c>
      <c r="AG96" t="s">
        <v>37</v>
      </c>
      <c r="AH96" t="s">
        <v>1487</v>
      </c>
      <c r="AI96" t="s">
        <v>1058</v>
      </c>
      <c r="AJ96" t="s">
        <v>1058</v>
      </c>
      <c r="AK96" t="s">
        <v>1058</v>
      </c>
      <c r="AL96" t="s">
        <v>245</v>
      </c>
      <c r="AM96" t="s">
        <v>1245</v>
      </c>
      <c r="AN96" t="s">
        <v>1903</v>
      </c>
      <c r="AO96" t="s">
        <v>780</v>
      </c>
      <c r="AP96" t="s">
        <v>560</v>
      </c>
    </row>
    <row r="97" spans="1:42" x14ac:dyDescent="0.2">
      <c r="A97" t="s">
        <v>1059</v>
      </c>
      <c r="B97" t="s">
        <v>646</v>
      </c>
      <c r="C97" t="s">
        <v>1059</v>
      </c>
      <c r="D97" t="s">
        <v>1059</v>
      </c>
      <c r="E97" t="s">
        <v>1540</v>
      </c>
      <c r="F97" t="s">
        <v>1059</v>
      </c>
      <c r="G97" t="s">
        <v>1246</v>
      </c>
      <c r="H97" t="s">
        <v>126</v>
      </c>
      <c r="I97" t="s">
        <v>1059</v>
      </c>
      <c r="J97" t="s">
        <v>1059</v>
      </c>
      <c r="K97" t="s">
        <v>1488</v>
      </c>
      <c r="L97" t="s">
        <v>1488</v>
      </c>
      <c r="M97" t="s">
        <v>1059</v>
      </c>
      <c r="N97" t="s">
        <v>1059</v>
      </c>
      <c r="O97" t="s">
        <v>1755</v>
      </c>
      <c r="P97" t="s">
        <v>1059</v>
      </c>
      <c r="Q97" t="s">
        <v>1448</v>
      </c>
      <c r="R97" t="s">
        <v>1059</v>
      </c>
      <c r="S97" t="s">
        <v>1812</v>
      </c>
      <c r="T97" t="s">
        <v>1059</v>
      </c>
      <c r="U97" t="s">
        <v>1059</v>
      </c>
      <c r="V97" t="s">
        <v>1059</v>
      </c>
      <c r="W97" t="s">
        <v>2521</v>
      </c>
      <c r="X97" t="s">
        <v>388</v>
      </c>
      <c r="Y97" t="s">
        <v>1658</v>
      </c>
      <c r="Z97" t="s">
        <v>486</v>
      </c>
      <c r="AA97" t="s">
        <v>1488</v>
      </c>
      <c r="AB97" t="s">
        <v>1308</v>
      </c>
      <c r="AC97" t="s">
        <v>1059</v>
      </c>
      <c r="AD97" t="s">
        <v>1059</v>
      </c>
      <c r="AE97" t="s">
        <v>1982</v>
      </c>
      <c r="AF97" t="s">
        <v>1059</v>
      </c>
      <c r="AG97" t="s">
        <v>38</v>
      </c>
      <c r="AH97" t="s">
        <v>1488</v>
      </c>
      <c r="AI97" t="s">
        <v>1059</v>
      </c>
      <c r="AJ97" t="s">
        <v>1059</v>
      </c>
      <c r="AK97" t="s">
        <v>1059</v>
      </c>
      <c r="AL97" t="s">
        <v>246</v>
      </c>
      <c r="AM97" t="s">
        <v>1246</v>
      </c>
      <c r="AN97" t="s">
        <v>1904</v>
      </c>
      <c r="AO97" t="s">
        <v>781</v>
      </c>
      <c r="AP97" t="s">
        <v>561</v>
      </c>
    </row>
    <row r="98" spans="1:42" x14ac:dyDescent="0.2">
      <c r="A98" t="s">
        <v>1060</v>
      </c>
      <c r="B98" t="s">
        <v>647</v>
      </c>
      <c r="C98" t="s">
        <v>1060</v>
      </c>
      <c r="D98" t="s">
        <v>1060</v>
      </c>
      <c r="E98" t="s">
        <v>1541</v>
      </c>
      <c r="F98" t="s">
        <v>1060</v>
      </c>
      <c r="G98" t="s">
        <v>1247</v>
      </c>
      <c r="H98" t="s">
        <v>127</v>
      </c>
      <c r="I98" t="s">
        <v>1060</v>
      </c>
      <c r="J98" t="s">
        <v>1060</v>
      </c>
      <c r="K98" t="s">
        <v>1135</v>
      </c>
      <c r="L98" t="s">
        <v>1135</v>
      </c>
      <c r="M98" t="s">
        <v>1060</v>
      </c>
      <c r="N98" t="s">
        <v>1060</v>
      </c>
      <c r="O98" t="s">
        <v>1756</v>
      </c>
      <c r="P98" t="s">
        <v>1060</v>
      </c>
      <c r="Q98" t="s">
        <v>1449</v>
      </c>
      <c r="R98" t="s">
        <v>1060</v>
      </c>
      <c r="S98" t="s">
        <v>1813</v>
      </c>
      <c r="T98" t="s">
        <v>1060</v>
      </c>
      <c r="U98" t="s">
        <v>1060</v>
      </c>
      <c r="V98" t="s">
        <v>1060</v>
      </c>
      <c r="W98" t="s">
        <v>1946</v>
      </c>
      <c r="X98" t="s">
        <v>1062</v>
      </c>
      <c r="Y98" t="s">
        <v>1659</v>
      </c>
      <c r="Z98" t="s">
        <v>487</v>
      </c>
      <c r="AA98" t="s">
        <v>1135</v>
      </c>
      <c r="AB98" t="s">
        <v>1309</v>
      </c>
      <c r="AC98" t="s">
        <v>1060</v>
      </c>
      <c r="AD98" t="s">
        <v>1060</v>
      </c>
      <c r="AE98" t="s">
        <v>1983</v>
      </c>
      <c r="AF98" t="s">
        <v>1060</v>
      </c>
      <c r="AG98" t="s">
        <v>1370</v>
      </c>
      <c r="AH98" t="s">
        <v>1135</v>
      </c>
      <c r="AI98" t="s">
        <v>1060</v>
      </c>
      <c r="AJ98" t="s">
        <v>1060</v>
      </c>
      <c r="AK98" t="s">
        <v>1060</v>
      </c>
      <c r="AL98" t="s">
        <v>247</v>
      </c>
      <c r="AM98" t="s">
        <v>1247</v>
      </c>
      <c r="AN98" t="s">
        <v>1704</v>
      </c>
      <c r="AO98" t="s">
        <v>782</v>
      </c>
      <c r="AP98" t="s">
        <v>562</v>
      </c>
    </row>
    <row r="99" spans="1:42" x14ac:dyDescent="0.2">
      <c r="A99" t="s">
        <v>1061</v>
      </c>
      <c r="B99" t="s">
        <v>648</v>
      </c>
      <c r="C99" t="s">
        <v>1061</v>
      </c>
      <c r="D99" t="s">
        <v>1061</v>
      </c>
      <c r="E99" t="s">
        <v>1542</v>
      </c>
      <c r="F99" t="s">
        <v>1061</v>
      </c>
      <c r="G99" t="s">
        <v>1248</v>
      </c>
      <c r="H99" t="s">
        <v>128</v>
      </c>
      <c r="I99" t="s">
        <v>1061</v>
      </c>
      <c r="J99" t="s">
        <v>1061</v>
      </c>
      <c r="K99" t="s">
        <v>1136</v>
      </c>
      <c r="L99" t="s">
        <v>1136</v>
      </c>
      <c r="M99" t="s">
        <v>1061</v>
      </c>
      <c r="N99" t="s">
        <v>1061</v>
      </c>
      <c r="O99" t="s">
        <v>1757</v>
      </c>
      <c r="P99" t="s">
        <v>1061</v>
      </c>
      <c r="Q99" t="s">
        <v>1450</v>
      </c>
      <c r="R99" t="s">
        <v>1061</v>
      </c>
      <c r="S99" t="s">
        <v>1814</v>
      </c>
      <c r="T99" t="s">
        <v>1061</v>
      </c>
      <c r="U99" t="s">
        <v>1061</v>
      </c>
      <c r="V99" t="s">
        <v>1061</v>
      </c>
      <c r="W99" t="s">
        <v>2522</v>
      </c>
      <c r="X99" t="s">
        <v>1063</v>
      </c>
      <c r="Y99" t="s">
        <v>1660</v>
      </c>
      <c r="Z99" t="s">
        <v>488</v>
      </c>
      <c r="AA99" t="s">
        <v>1136</v>
      </c>
      <c r="AB99" t="s">
        <v>1310</v>
      </c>
      <c r="AC99" t="s">
        <v>1061</v>
      </c>
      <c r="AD99" t="s">
        <v>1061</v>
      </c>
      <c r="AE99" t="s">
        <v>1984</v>
      </c>
      <c r="AF99" t="s">
        <v>1061</v>
      </c>
      <c r="AG99" t="s">
        <v>1371</v>
      </c>
      <c r="AH99" t="s">
        <v>1136</v>
      </c>
      <c r="AI99" t="s">
        <v>1061</v>
      </c>
      <c r="AJ99" t="s">
        <v>1061</v>
      </c>
      <c r="AK99" t="s">
        <v>1061</v>
      </c>
      <c r="AL99" t="s">
        <v>248</v>
      </c>
      <c r="AM99" t="s">
        <v>1248</v>
      </c>
      <c r="AN99" t="s">
        <v>1705</v>
      </c>
      <c r="AO99" t="s">
        <v>783</v>
      </c>
      <c r="AP99" t="s">
        <v>563</v>
      </c>
    </row>
    <row r="100" spans="1:42" x14ac:dyDescent="0.2">
      <c r="A100" t="s">
        <v>1062</v>
      </c>
      <c r="B100" t="s">
        <v>649</v>
      </c>
      <c r="C100" t="s">
        <v>1062</v>
      </c>
      <c r="D100" t="s">
        <v>1062</v>
      </c>
      <c r="E100" t="s">
        <v>1249</v>
      </c>
      <c r="F100" t="s">
        <v>1062</v>
      </c>
      <c r="G100" t="s">
        <v>1370</v>
      </c>
      <c r="H100" t="s">
        <v>129</v>
      </c>
      <c r="I100" t="s">
        <v>1062</v>
      </c>
      <c r="J100" t="s">
        <v>1062</v>
      </c>
      <c r="K100" t="s">
        <v>1370</v>
      </c>
      <c r="L100" t="s">
        <v>1704</v>
      </c>
      <c r="M100" t="s">
        <v>1135</v>
      </c>
      <c r="N100" t="s">
        <v>1062</v>
      </c>
      <c r="O100" t="s">
        <v>1758</v>
      </c>
      <c r="P100" t="s">
        <v>1062</v>
      </c>
      <c r="Q100" t="s">
        <v>1451</v>
      </c>
      <c r="R100" t="s">
        <v>1062</v>
      </c>
      <c r="S100" t="s">
        <v>1135</v>
      </c>
      <c r="T100" t="s">
        <v>1062</v>
      </c>
      <c r="U100" t="s">
        <v>1062</v>
      </c>
      <c r="V100" t="s">
        <v>1062</v>
      </c>
      <c r="W100" t="s">
        <v>2523</v>
      </c>
      <c r="X100" t="s">
        <v>1370</v>
      </c>
      <c r="Y100" t="s">
        <v>1661</v>
      </c>
      <c r="Z100" t="s">
        <v>1704</v>
      </c>
      <c r="AA100" t="s">
        <v>1704</v>
      </c>
      <c r="AB100" t="s">
        <v>1311</v>
      </c>
      <c r="AC100" t="s">
        <v>1062</v>
      </c>
      <c r="AD100" t="s">
        <v>1062</v>
      </c>
      <c r="AE100" t="s">
        <v>1370</v>
      </c>
      <c r="AF100" t="s">
        <v>1062</v>
      </c>
      <c r="AG100" t="s">
        <v>39</v>
      </c>
      <c r="AH100" t="s">
        <v>1370</v>
      </c>
      <c r="AI100" t="s">
        <v>1062</v>
      </c>
      <c r="AJ100" t="s">
        <v>1062</v>
      </c>
      <c r="AK100" t="s">
        <v>1062</v>
      </c>
      <c r="AL100" t="s">
        <v>249</v>
      </c>
      <c r="AM100" t="s">
        <v>1249</v>
      </c>
      <c r="AN100" t="s">
        <v>1905</v>
      </c>
      <c r="AO100" t="s">
        <v>784</v>
      </c>
      <c r="AP100" t="s">
        <v>564</v>
      </c>
    </row>
    <row r="101" spans="1:42" x14ac:dyDescent="0.2">
      <c r="A101" t="s">
        <v>1063</v>
      </c>
      <c r="B101" t="s">
        <v>650</v>
      </c>
      <c r="C101" t="s">
        <v>1063</v>
      </c>
      <c r="D101" t="s">
        <v>1063</v>
      </c>
      <c r="E101" t="s">
        <v>1250</v>
      </c>
      <c r="F101" t="s">
        <v>1063</v>
      </c>
      <c r="G101" t="s">
        <v>1371</v>
      </c>
      <c r="H101" t="s">
        <v>130</v>
      </c>
      <c r="I101" t="s">
        <v>1063</v>
      </c>
      <c r="J101" t="s">
        <v>1063</v>
      </c>
      <c r="K101" t="s">
        <v>1371</v>
      </c>
      <c r="L101" t="s">
        <v>1705</v>
      </c>
      <c r="M101" t="s">
        <v>1136</v>
      </c>
      <c r="N101" t="s">
        <v>1063</v>
      </c>
      <c r="O101" t="s">
        <v>1759</v>
      </c>
      <c r="P101" t="s">
        <v>1063</v>
      </c>
      <c r="Q101" t="s">
        <v>1452</v>
      </c>
      <c r="R101" t="s">
        <v>1063</v>
      </c>
      <c r="S101" t="s">
        <v>1136</v>
      </c>
      <c r="T101" t="s">
        <v>1063</v>
      </c>
      <c r="U101" t="s">
        <v>1063</v>
      </c>
      <c r="V101" t="s">
        <v>1063</v>
      </c>
      <c r="W101" t="s">
        <v>2524</v>
      </c>
      <c r="X101" t="s">
        <v>1371</v>
      </c>
      <c r="Y101" t="s">
        <v>1662</v>
      </c>
      <c r="Z101" t="s">
        <v>1705</v>
      </c>
      <c r="AA101" t="s">
        <v>1705</v>
      </c>
      <c r="AB101" t="s">
        <v>1312</v>
      </c>
      <c r="AC101" t="s">
        <v>1063</v>
      </c>
      <c r="AD101" t="s">
        <v>1063</v>
      </c>
      <c r="AE101" t="s">
        <v>1371</v>
      </c>
      <c r="AF101" t="s">
        <v>1063</v>
      </c>
      <c r="AG101" t="s">
        <v>40</v>
      </c>
      <c r="AH101" t="s">
        <v>1371</v>
      </c>
      <c r="AI101" t="s">
        <v>1063</v>
      </c>
      <c r="AJ101" t="s">
        <v>1063</v>
      </c>
      <c r="AK101" t="s">
        <v>1063</v>
      </c>
      <c r="AL101" t="s">
        <v>250</v>
      </c>
      <c r="AM101" t="s">
        <v>1250</v>
      </c>
      <c r="AN101" t="s">
        <v>1906</v>
      </c>
      <c r="AO101" t="s">
        <v>785</v>
      </c>
      <c r="AP101" t="s">
        <v>565</v>
      </c>
    </row>
    <row r="102" spans="1:42" x14ac:dyDescent="0.2">
      <c r="A102" t="s">
        <v>2029</v>
      </c>
      <c r="B102" t="s">
        <v>651</v>
      </c>
      <c r="C102" t="s">
        <v>2030</v>
      </c>
      <c r="D102" t="s">
        <v>2031</v>
      </c>
      <c r="E102" t="s">
        <v>2032</v>
      </c>
      <c r="F102" t="s">
        <v>2033</v>
      </c>
      <c r="G102" t="s">
        <v>2034</v>
      </c>
      <c r="H102" t="s">
        <v>2035</v>
      </c>
      <c r="I102" t="s">
        <v>2029</v>
      </c>
      <c r="J102" t="s">
        <v>2036</v>
      </c>
      <c r="K102" t="s">
        <v>2037</v>
      </c>
      <c r="L102" t="s">
        <v>2038</v>
      </c>
      <c r="M102" t="s">
        <v>2039</v>
      </c>
      <c r="N102" t="s">
        <v>2041</v>
      </c>
      <c r="O102" t="s">
        <v>2042</v>
      </c>
      <c r="P102" t="s">
        <v>2043</v>
      </c>
      <c r="Q102" t="s">
        <v>2044</v>
      </c>
      <c r="R102" t="s">
        <v>2045</v>
      </c>
      <c r="S102" t="s">
        <v>1815</v>
      </c>
      <c r="T102" t="s">
        <v>2046</v>
      </c>
      <c r="U102" t="s">
        <v>2047</v>
      </c>
      <c r="V102" t="s">
        <v>2048</v>
      </c>
      <c r="W102" t="s">
        <v>2049</v>
      </c>
      <c r="X102" t="s">
        <v>2050</v>
      </c>
      <c r="Y102" t="s">
        <v>2051</v>
      </c>
      <c r="Z102" t="s">
        <v>2052</v>
      </c>
      <c r="AA102" t="s">
        <v>2053</v>
      </c>
      <c r="AB102" t="s">
        <v>2040</v>
      </c>
      <c r="AC102" t="s">
        <v>2054</v>
      </c>
      <c r="AD102" t="s">
        <v>2055</v>
      </c>
      <c r="AE102" t="s">
        <v>2056</v>
      </c>
      <c r="AF102" t="s">
        <v>2057</v>
      </c>
      <c r="AG102" t="s">
        <v>2058</v>
      </c>
      <c r="AH102" t="s">
        <v>2059</v>
      </c>
      <c r="AI102" t="s">
        <v>2060</v>
      </c>
      <c r="AJ102" t="s">
        <v>2061</v>
      </c>
      <c r="AK102" t="s">
        <v>2062</v>
      </c>
      <c r="AL102" t="s">
        <v>2063</v>
      </c>
      <c r="AM102" t="s">
        <v>2064</v>
      </c>
      <c r="AN102" t="s">
        <v>2065</v>
      </c>
      <c r="AO102" t="s">
        <v>2066</v>
      </c>
      <c r="AP102" t="s">
        <v>566</v>
      </c>
    </row>
    <row r="103" spans="1:42" x14ac:dyDescent="0.2">
      <c r="A103" s="50" t="s">
        <v>2536</v>
      </c>
      <c r="B103" t="s">
        <v>2536</v>
      </c>
      <c r="C103" t="s">
        <v>2538</v>
      </c>
      <c r="D103" t="s">
        <v>2536</v>
      </c>
      <c r="E103" t="s">
        <v>2536</v>
      </c>
      <c r="F103" t="s">
        <v>2539</v>
      </c>
      <c r="G103" t="s">
        <v>2536</v>
      </c>
      <c r="H103" t="s">
        <v>2540</v>
      </c>
      <c r="I103" t="s">
        <v>2541</v>
      </c>
      <c r="J103" t="s">
        <v>2536</v>
      </c>
      <c r="K103" t="s">
        <v>2536</v>
      </c>
      <c r="L103" t="s">
        <v>2536</v>
      </c>
      <c r="M103" t="s">
        <v>2536</v>
      </c>
      <c r="N103" t="s">
        <v>2536</v>
      </c>
      <c r="O103" t="s">
        <v>2542</v>
      </c>
      <c r="P103" t="s">
        <v>2536</v>
      </c>
      <c r="Q103" t="s">
        <v>2543</v>
      </c>
      <c r="R103" t="s">
        <v>2544</v>
      </c>
      <c r="S103" t="s">
        <v>2536</v>
      </c>
      <c r="T103" t="s">
        <v>2536</v>
      </c>
      <c r="U103" t="s">
        <v>2536</v>
      </c>
      <c r="V103" t="s">
        <v>2536</v>
      </c>
      <c r="W103" t="s">
        <v>2545</v>
      </c>
      <c r="X103" t="s">
        <v>2546</v>
      </c>
      <c r="Y103" t="s">
        <v>2547</v>
      </c>
      <c r="Z103" t="s">
        <v>2536</v>
      </c>
      <c r="AA103" t="s">
        <v>2536</v>
      </c>
      <c r="AB103" t="s">
        <v>2548</v>
      </c>
      <c r="AC103" t="s">
        <v>2536</v>
      </c>
      <c r="AD103" t="s">
        <v>2536</v>
      </c>
      <c r="AE103" t="s">
        <v>2536</v>
      </c>
      <c r="AF103" t="s">
        <v>2549</v>
      </c>
      <c r="AG103" t="s">
        <v>2547</v>
      </c>
      <c r="AH103" t="s">
        <v>2536</v>
      </c>
      <c r="AI103" t="s">
        <v>2536</v>
      </c>
      <c r="AJ103" t="s">
        <v>2536</v>
      </c>
      <c r="AK103" t="s">
        <v>2536</v>
      </c>
      <c r="AL103" t="s">
        <v>2536</v>
      </c>
      <c r="AM103" t="s">
        <v>2536</v>
      </c>
      <c r="AN103" t="s">
        <v>2536</v>
      </c>
      <c r="AO103" t="s">
        <v>2550</v>
      </c>
      <c r="AP103" t="s">
        <v>2551</v>
      </c>
    </row>
    <row r="104" spans="1:42" x14ac:dyDescent="0.2">
      <c r="A104" s="50" t="s">
        <v>2529</v>
      </c>
      <c r="B104" t="s">
        <v>2552</v>
      </c>
      <c r="C104" t="s">
        <v>2553</v>
      </c>
      <c r="D104" t="s">
        <v>2529</v>
      </c>
      <c r="E104" t="s">
        <v>2529</v>
      </c>
      <c r="F104" t="s">
        <v>2529</v>
      </c>
      <c r="G104" t="s">
        <v>2554</v>
      </c>
      <c r="H104" t="s">
        <v>2555</v>
      </c>
      <c r="I104" t="s">
        <v>2556</v>
      </c>
      <c r="J104" t="s">
        <v>2529</v>
      </c>
      <c r="K104" t="s">
        <v>2529</v>
      </c>
      <c r="L104" t="s">
        <v>2529</v>
      </c>
      <c r="M104" t="s">
        <v>2529</v>
      </c>
      <c r="N104" t="s">
        <v>2529</v>
      </c>
      <c r="O104" t="s">
        <v>2529</v>
      </c>
      <c r="P104" t="s">
        <v>2529</v>
      </c>
      <c r="Q104" t="s">
        <v>2557</v>
      </c>
      <c r="R104" t="s">
        <v>2558</v>
      </c>
      <c r="S104" t="s">
        <v>2529</v>
      </c>
      <c r="T104" t="s">
        <v>2529</v>
      </c>
      <c r="U104" t="s">
        <v>2529</v>
      </c>
      <c r="V104" t="s">
        <v>2529</v>
      </c>
      <c r="W104" t="s">
        <v>2559</v>
      </c>
      <c r="X104" t="s">
        <v>2529</v>
      </c>
      <c r="Y104" t="s">
        <v>2560</v>
      </c>
      <c r="Z104" t="s">
        <v>2529</v>
      </c>
      <c r="AA104" t="s">
        <v>2529</v>
      </c>
      <c r="AB104" t="s">
        <v>2561</v>
      </c>
      <c r="AC104" t="s">
        <v>2529</v>
      </c>
      <c r="AD104" t="s">
        <v>2554</v>
      </c>
      <c r="AE104" t="s">
        <v>2529</v>
      </c>
      <c r="AF104" t="s">
        <v>2562</v>
      </c>
      <c r="AG104" t="s">
        <v>2560</v>
      </c>
      <c r="AH104" t="s">
        <v>2529</v>
      </c>
      <c r="AI104" t="s">
        <v>2529</v>
      </c>
      <c r="AJ104" t="s">
        <v>2529</v>
      </c>
      <c r="AK104" t="s">
        <v>2529</v>
      </c>
      <c r="AL104" t="s">
        <v>2563</v>
      </c>
      <c r="AM104" t="s">
        <v>2529</v>
      </c>
      <c r="AN104" t="s">
        <v>2529</v>
      </c>
      <c r="AO104" t="s">
        <v>2564</v>
      </c>
      <c r="AP104" t="s">
        <v>2565</v>
      </c>
    </row>
    <row r="105" spans="1:42" x14ac:dyDescent="0.2">
      <c r="A105" s="50" t="s">
        <v>2532</v>
      </c>
      <c r="B105" t="s">
        <v>2532</v>
      </c>
      <c r="C105" t="s">
        <v>2566</v>
      </c>
      <c r="D105" t="s">
        <v>2532</v>
      </c>
      <c r="E105" t="s">
        <v>2532</v>
      </c>
      <c r="F105" t="s">
        <v>2532</v>
      </c>
      <c r="G105" t="s">
        <v>2532</v>
      </c>
      <c r="H105" t="s">
        <v>2567</v>
      </c>
      <c r="I105" t="s">
        <v>2568</v>
      </c>
      <c r="J105" t="s">
        <v>2532</v>
      </c>
      <c r="K105" t="s">
        <v>2532</v>
      </c>
      <c r="L105" t="s">
        <v>2532</v>
      </c>
      <c r="M105" t="s">
        <v>2532</v>
      </c>
      <c r="N105" t="s">
        <v>2532</v>
      </c>
      <c r="O105" t="s">
        <v>2569</v>
      </c>
      <c r="P105" t="s">
        <v>2532</v>
      </c>
      <c r="Q105" t="s">
        <v>2532</v>
      </c>
      <c r="R105" t="s">
        <v>2570</v>
      </c>
      <c r="S105" t="s">
        <v>2532</v>
      </c>
      <c r="T105" t="s">
        <v>2532</v>
      </c>
      <c r="U105" t="s">
        <v>2532</v>
      </c>
      <c r="V105" t="s">
        <v>2532</v>
      </c>
      <c r="W105" t="s">
        <v>2571</v>
      </c>
      <c r="X105" t="s">
        <v>2532</v>
      </c>
      <c r="Y105" t="s">
        <v>2532</v>
      </c>
      <c r="Z105" t="s">
        <v>2532</v>
      </c>
      <c r="AA105" t="s">
        <v>2532</v>
      </c>
      <c r="AB105" t="s">
        <v>2572</v>
      </c>
      <c r="AC105" t="s">
        <v>2573</v>
      </c>
      <c r="AD105" t="s">
        <v>2569</v>
      </c>
      <c r="AE105" t="s">
        <v>2532</v>
      </c>
      <c r="AF105" t="s">
        <v>2574</v>
      </c>
      <c r="AG105" t="s">
        <v>2575</v>
      </c>
      <c r="AH105" t="s">
        <v>2573</v>
      </c>
      <c r="AI105" t="s">
        <v>2532</v>
      </c>
      <c r="AJ105" t="s">
        <v>2532</v>
      </c>
      <c r="AK105" t="s">
        <v>2532</v>
      </c>
      <c r="AL105" t="s">
        <v>2576</v>
      </c>
      <c r="AM105" t="s">
        <v>2532</v>
      </c>
      <c r="AN105" t="s">
        <v>2532</v>
      </c>
      <c r="AO105" t="s">
        <v>2574</v>
      </c>
      <c r="AP105" t="s">
        <v>2577</v>
      </c>
    </row>
    <row r="106" spans="1:42" x14ac:dyDescent="0.2">
      <c r="A106" s="50" t="s">
        <v>2535</v>
      </c>
      <c r="B106" t="s">
        <v>2535</v>
      </c>
      <c r="C106" t="s">
        <v>2578</v>
      </c>
      <c r="D106" t="s">
        <v>2535</v>
      </c>
      <c r="E106" t="s">
        <v>2535</v>
      </c>
      <c r="F106" t="s">
        <v>2579</v>
      </c>
      <c r="G106" t="s">
        <v>2535</v>
      </c>
      <c r="H106" t="s">
        <v>2580</v>
      </c>
      <c r="I106" t="s">
        <v>2581</v>
      </c>
      <c r="J106" t="s">
        <v>2535</v>
      </c>
      <c r="K106" t="s">
        <v>2535</v>
      </c>
      <c r="L106" t="s">
        <v>2535</v>
      </c>
      <c r="M106" t="s">
        <v>2535</v>
      </c>
      <c r="N106" t="s">
        <v>2535</v>
      </c>
      <c r="O106" t="s">
        <v>2535</v>
      </c>
      <c r="P106" t="s">
        <v>2535</v>
      </c>
      <c r="Q106" t="s">
        <v>2535</v>
      </c>
      <c r="R106" t="s">
        <v>2582</v>
      </c>
      <c r="S106" t="s">
        <v>2535</v>
      </c>
      <c r="T106" t="s">
        <v>2535</v>
      </c>
      <c r="U106" t="s">
        <v>2535</v>
      </c>
      <c r="V106" t="s">
        <v>2535</v>
      </c>
      <c r="W106" t="s">
        <v>2583</v>
      </c>
      <c r="X106" t="s">
        <v>2584</v>
      </c>
      <c r="Y106" t="s">
        <v>2579</v>
      </c>
      <c r="Z106" t="s">
        <v>2535</v>
      </c>
      <c r="AA106" t="s">
        <v>2535</v>
      </c>
      <c r="AB106" t="s">
        <v>2585</v>
      </c>
      <c r="AC106" t="s">
        <v>2535</v>
      </c>
      <c r="AD106" t="s">
        <v>2535</v>
      </c>
      <c r="AE106" t="s">
        <v>2535</v>
      </c>
      <c r="AF106" t="s">
        <v>2579</v>
      </c>
      <c r="AG106" t="s">
        <v>2579</v>
      </c>
      <c r="AH106" t="s">
        <v>2586</v>
      </c>
      <c r="AI106" t="s">
        <v>2535</v>
      </c>
      <c r="AJ106" t="s">
        <v>2535</v>
      </c>
      <c r="AK106" t="s">
        <v>2535</v>
      </c>
      <c r="AL106" t="s">
        <v>2587</v>
      </c>
      <c r="AM106" t="s">
        <v>2535</v>
      </c>
      <c r="AN106" t="s">
        <v>2535</v>
      </c>
      <c r="AO106" t="s">
        <v>2588</v>
      </c>
      <c r="AP106" t="s">
        <v>2589</v>
      </c>
    </row>
    <row r="107" spans="1:42" x14ac:dyDescent="0.2">
      <c r="A107" s="50" t="s">
        <v>2527</v>
      </c>
      <c r="B107" t="s">
        <v>2527</v>
      </c>
      <c r="C107" t="s">
        <v>2590</v>
      </c>
      <c r="D107" t="s">
        <v>2527</v>
      </c>
      <c r="E107" t="s">
        <v>2527</v>
      </c>
      <c r="F107" t="s">
        <v>2591</v>
      </c>
      <c r="G107" t="s">
        <v>2592</v>
      </c>
      <c r="H107" t="s">
        <v>2593</v>
      </c>
      <c r="I107" t="s">
        <v>2594</v>
      </c>
      <c r="J107" t="s">
        <v>2527</v>
      </c>
      <c r="K107" t="s">
        <v>2527</v>
      </c>
      <c r="L107" t="s">
        <v>2527</v>
      </c>
      <c r="M107" t="s">
        <v>2527</v>
      </c>
      <c r="N107" t="s">
        <v>2527</v>
      </c>
      <c r="O107" t="s">
        <v>2527</v>
      </c>
      <c r="P107" t="s">
        <v>2527</v>
      </c>
      <c r="Q107" t="s">
        <v>2527</v>
      </c>
      <c r="R107" t="s">
        <v>2595</v>
      </c>
      <c r="S107" t="s">
        <v>2527</v>
      </c>
      <c r="T107" t="s">
        <v>2527</v>
      </c>
      <c r="U107" t="s">
        <v>2527</v>
      </c>
      <c r="V107" t="s">
        <v>2527</v>
      </c>
      <c r="W107" t="s">
        <v>2596</v>
      </c>
      <c r="X107" t="s">
        <v>2527</v>
      </c>
      <c r="Y107" t="s">
        <v>2591</v>
      </c>
      <c r="Z107" t="s">
        <v>2527</v>
      </c>
      <c r="AA107" t="s">
        <v>2527</v>
      </c>
      <c r="AB107" t="s">
        <v>2597</v>
      </c>
      <c r="AC107" t="s">
        <v>2527</v>
      </c>
      <c r="AD107" t="s">
        <v>2527</v>
      </c>
      <c r="AE107" t="s">
        <v>2527</v>
      </c>
      <c r="AF107" t="s">
        <v>2591</v>
      </c>
      <c r="AG107" t="s">
        <v>2591</v>
      </c>
      <c r="AH107" t="s">
        <v>2598</v>
      </c>
      <c r="AI107" t="s">
        <v>2527</v>
      </c>
      <c r="AJ107" t="s">
        <v>2527</v>
      </c>
      <c r="AK107" t="s">
        <v>2527</v>
      </c>
      <c r="AL107" t="s">
        <v>2599</v>
      </c>
      <c r="AM107" t="s">
        <v>2527</v>
      </c>
      <c r="AN107" t="s">
        <v>2527</v>
      </c>
      <c r="AO107" t="s">
        <v>2591</v>
      </c>
      <c r="AP107" t="s">
        <v>2600</v>
      </c>
    </row>
    <row r="108" spans="1:42" x14ac:dyDescent="0.2">
      <c r="A108" s="50" t="s">
        <v>2528</v>
      </c>
      <c r="B108" t="s">
        <v>2528</v>
      </c>
      <c r="C108" t="s">
        <v>2601</v>
      </c>
      <c r="D108" t="s">
        <v>2528</v>
      </c>
      <c r="E108" t="s">
        <v>2528</v>
      </c>
      <c r="F108" t="s">
        <v>2528</v>
      </c>
      <c r="G108" t="s">
        <v>2528</v>
      </c>
      <c r="H108" t="s">
        <v>2602</v>
      </c>
      <c r="I108" t="s">
        <v>2603</v>
      </c>
      <c r="J108" t="s">
        <v>2528</v>
      </c>
      <c r="K108" t="s">
        <v>2528</v>
      </c>
      <c r="L108" t="s">
        <v>2528</v>
      </c>
      <c r="M108" t="s">
        <v>2528</v>
      </c>
      <c r="N108" t="s">
        <v>2528</v>
      </c>
      <c r="O108" t="s">
        <v>2528</v>
      </c>
      <c r="P108" t="s">
        <v>2528</v>
      </c>
      <c r="Q108" t="s">
        <v>2528</v>
      </c>
      <c r="R108" t="s">
        <v>2604</v>
      </c>
      <c r="S108" t="s">
        <v>2528</v>
      </c>
      <c r="T108" t="s">
        <v>2528</v>
      </c>
      <c r="U108" t="s">
        <v>2528</v>
      </c>
      <c r="V108" t="s">
        <v>2528</v>
      </c>
      <c r="W108" t="s">
        <v>2605</v>
      </c>
      <c r="X108" t="s">
        <v>2606</v>
      </c>
      <c r="Y108" t="s">
        <v>2607</v>
      </c>
      <c r="Z108" t="s">
        <v>2528</v>
      </c>
      <c r="AA108" t="s">
        <v>2528</v>
      </c>
      <c r="AB108" t="s">
        <v>2608</v>
      </c>
      <c r="AC108" t="s">
        <v>2528</v>
      </c>
      <c r="AD108" t="s">
        <v>2528</v>
      </c>
      <c r="AE108" t="s">
        <v>2528</v>
      </c>
      <c r="AF108" t="s">
        <v>2607</v>
      </c>
      <c r="AG108" t="s">
        <v>2607</v>
      </c>
      <c r="AH108" t="s">
        <v>2528</v>
      </c>
      <c r="AI108" t="s">
        <v>2528</v>
      </c>
      <c r="AJ108" t="s">
        <v>2528</v>
      </c>
      <c r="AK108" t="s">
        <v>2528</v>
      </c>
      <c r="AL108" t="s">
        <v>2609</v>
      </c>
      <c r="AM108" t="s">
        <v>2528</v>
      </c>
      <c r="AN108" t="s">
        <v>2528</v>
      </c>
      <c r="AO108" t="s">
        <v>2607</v>
      </c>
      <c r="AP108" t="s">
        <v>2610</v>
      </c>
    </row>
    <row r="109" spans="1:42" x14ac:dyDescent="0.2">
      <c r="A109" s="50" t="s">
        <v>2526</v>
      </c>
      <c r="B109" t="s">
        <v>2611</v>
      </c>
      <c r="C109" t="s">
        <v>2612</v>
      </c>
      <c r="D109" t="s">
        <v>2613</v>
      </c>
      <c r="E109" t="s">
        <v>2526</v>
      </c>
      <c r="F109" t="s">
        <v>2614</v>
      </c>
      <c r="G109" t="s">
        <v>2615</v>
      </c>
      <c r="H109" t="s">
        <v>2616</v>
      </c>
      <c r="I109" t="s">
        <v>2617</v>
      </c>
      <c r="J109" t="s">
        <v>2618</v>
      </c>
      <c r="K109" t="s">
        <v>2619</v>
      </c>
      <c r="L109" t="s">
        <v>2526</v>
      </c>
      <c r="M109" t="s">
        <v>2615</v>
      </c>
      <c r="N109" t="s">
        <v>2615</v>
      </c>
      <c r="O109" t="s">
        <v>2526</v>
      </c>
      <c r="P109" t="s">
        <v>2620</v>
      </c>
      <c r="Q109" t="s">
        <v>2621</v>
      </c>
      <c r="R109" t="s">
        <v>2622</v>
      </c>
      <c r="S109" t="s">
        <v>2623</v>
      </c>
      <c r="T109" t="s">
        <v>2526</v>
      </c>
      <c r="U109" t="s">
        <v>2526</v>
      </c>
      <c r="V109" t="s">
        <v>2624</v>
      </c>
      <c r="W109" t="s">
        <v>2625</v>
      </c>
      <c r="X109" t="s">
        <v>2626</v>
      </c>
      <c r="Y109" t="s">
        <v>2627</v>
      </c>
      <c r="Z109" t="s">
        <v>2526</v>
      </c>
      <c r="AA109" t="s">
        <v>2526</v>
      </c>
      <c r="AB109" t="s">
        <v>2628</v>
      </c>
      <c r="AC109" t="s">
        <v>2629</v>
      </c>
      <c r="AD109" t="s">
        <v>2615</v>
      </c>
      <c r="AE109" t="s">
        <v>2615</v>
      </c>
      <c r="AF109" t="s">
        <v>2630</v>
      </c>
      <c r="AG109" t="s">
        <v>2631</v>
      </c>
      <c r="AH109" t="s">
        <v>2619</v>
      </c>
      <c r="AI109" t="s">
        <v>2526</v>
      </c>
      <c r="AJ109" t="s">
        <v>2615</v>
      </c>
      <c r="AK109" t="s">
        <v>2526</v>
      </c>
      <c r="AL109" t="s">
        <v>2632</v>
      </c>
      <c r="AM109" t="s">
        <v>2633</v>
      </c>
      <c r="AN109" t="s">
        <v>2634</v>
      </c>
      <c r="AO109" t="s">
        <v>2635</v>
      </c>
      <c r="AP109" t="s">
        <v>2636</v>
      </c>
    </row>
    <row r="110" spans="1:42" x14ac:dyDescent="0.2">
      <c r="A110" s="50" t="s">
        <v>2534</v>
      </c>
      <c r="B110" t="s">
        <v>2534</v>
      </c>
      <c r="C110" t="s">
        <v>2637</v>
      </c>
      <c r="D110" t="s">
        <v>2534</v>
      </c>
      <c r="E110" t="s">
        <v>2534</v>
      </c>
      <c r="F110" t="s">
        <v>2534</v>
      </c>
      <c r="G110" t="s">
        <v>2534</v>
      </c>
      <c r="H110" t="s">
        <v>2638</v>
      </c>
      <c r="I110" t="s">
        <v>2638</v>
      </c>
      <c r="J110" t="s">
        <v>2534</v>
      </c>
      <c r="K110" t="s">
        <v>2534</v>
      </c>
      <c r="L110" t="s">
        <v>2534</v>
      </c>
      <c r="M110" t="s">
        <v>2534</v>
      </c>
      <c r="N110" t="s">
        <v>2534</v>
      </c>
      <c r="O110" t="s">
        <v>2534</v>
      </c>
      <c r="P110" t="s">
        <v>2534</v>
      </c>
      <c r="Q110" t="s">
        <v>2639</v>
      </c>
      <c r="R110" t="s">
        <v>2640</v>
      </c>
      <c r="S110" t="s">
        <v>2534</v>
      </c>
      <c r="T110" t="s">
        <v>2534</v>
      </c>
      <c r="U110" t="s">
        <v>2534</v>
      </c>
      <c r="V110" t="s">
        <v>2534</v>
      </c>
      <c r="W110" t="s">
        <v>2641</v>
      </c>
      <c r="X110" t="s">
        <v>2642</v>
      </c>
      <c r="Y110" t="s">
        <v>2643</v>
      </c>
      <c r="Z110" t="s">
        <v>2534</v>
      </c>
      <c r="AA110" t="s">
        <v>2534</v>
      </c>
      <c r="AB110" t="s">
        <v>2644</v>
      </c>
      <c r="AC110" t="s">
        <v>2534</v>
      </c>
      <c r="AD110" t="s">
        <v>2534</v>
      </c>
      <c r="AE110" t="s">
        <v>2534</v>
      </c>
      <c r="AF110" t="s">
        <v>2645</v>
      </c>
      <c r="AG110" t="s">
        <v>2643</v>
      </c>
      <c r="AH110" t="s">
        <v>2534</v>
      </c>
      <c r="AI110" t="s">
        <v>2534</v>
      </c>
      <c r="AJ110" t="s">
        <v>2534</v>
      </c>
      <c r="AK110" t="s">
        <v>2534</v>
      </c>
      <c r="AL110" t="s">
        <v>2646</v>
      </c>
      <c r="AM110" t="s">
        <v>2534</v>
      </c>
      <c r="AN110" t="s">
        <v>2534</v>
      </c>
      <c r="AO110" t="s">
        <v>2647</v>
      </c>
      <c r="AP110" t="s">
        <v>2648</v>
      </c>
    </row>
    <row r="111" spans="1:42" x14ac:dyDescent="0.2">
      <c r="A111" s="50" t="s">
        <v>2530</v>
      </c>
      <c r="B111" t="s">
        <v>2530</v>
      </c>
      <c r="C111" t="s">
        <v>2649</v>
      </c>
      <c r="D111" t="s">
        <v>2530</v>
      </c>
      <c r="E111" t="s">
        <v>2530</v>
      </c>
      <c r="F111" t="s">
        <v>2650</v>
      </c>
      <c r="G111" t="s">
        <v>2530</v>
      </c>
      <c r="H111" t="s">
        <v>2651</v>
      </c>
      <c r="I111" t="s">
        <v>2651</v>
      </c>
      <c r="J111" t="s">
        <v>2530</v>
      </c>
      <c r="K111" t="s">
        <v>2530</v>
      </c>
      <c r="L111" t="s">
        <v>2530</v>
      </c>
      <c r="M111" t="s">
        <v>2530</v>
      </c>
      <c r="N111" t="s">
        <v>2530</v>
      </c>
      <c r="O111" t="s">
        <v>2530</v>
      </c>
      <c r="P111" t="s">
        <v>2530</v>
      </c>
      <c r="Q111" t="s">
        <v>2652</v>
      </c>
      <c r="R111" t="s">
        <v>2653</v>
      </c>
      <c r="S111" t="s">
        <v>2530</v>
      </c>
      <c r="T111" t="s">
        <v>2530</v>
      </c>
      <c r="U111" t="s">
        <v>2530</v>
      </c>
      <c r="V111" t="s">
        <v>2530</v>
      </c>
      <c r="W111" t="s">
        <v>2654</v>
      </c>
      <c r="X111" t="s">
        <v>2655</v>
      </c>
      <c r="Y111" t="s">
        <v>2650</v>
      </c>
      <c r="Z111" t="s">
        <v>2530</v>
      </c>
      <c r="AA111" t="s">
        <v>2530</v>
      </c>
      <c r="AB111" t="s">
        <v>2656</v>
      </c>
      <c r="AC111" t="s">
        <v>2530</v>
      </c>
      <c r="AD111" t="s">
        <v>2530</v>
      </c>
      <c r="AE111" t="s">
        <v>2530</v>
      </c>
      <c r="AF111" t="s">
        <v>2657</v>
      </c>
      <c r="AG111" t="s">
        <v>2650</v>
      </c>
      <c r="AH111" t="s">
        <v>2530</v>
      </c>
      <c r="AI111" t="s">
        <v>2530</v>
      </c>
      <c r="AJ111" t="s">
        <v>2530</v>
      </c>
      <c r="AK111" t="s">
        <v>2530</v>
      </c>
      <c r="AL111" t="s">
        <v>2658</v>
      </c>
      <c r="AM111" t="s">
        <v>2530</v>
      </c>
      <c r="AN111" t="s">
        <v>2530</v>
      </c>
      <c r="AO111" t="s">
        <v>2659</v>
      </c>
      <c r="AP111" t="s">
        <v>2660</v>
      </c>
    </row>
    <row r="112" spans="1:42" x14ac:dyDescent="0.2">
      <c r="A112" s="50" t="s">
        <v>2533</v>
      </c>
      <c r="B112" t="s">
        <v>2533</v>
      </c>
      <c r="C112" t="s">
        <v>2661</v>
      </c>
      <c r="D112" t="s">
        <v>2533</v>
      </c>
      <c r="E112" t="s">
        <v>2533</v>
      </c>
      <c r="F112" t="s">
        <v>2533</v>
      </c>
      <c r="G112" t="s">
        <v>2533</v>
      </c>
      <c r="H112" t="s">
        <v>2662</v>
      </c>
      <c r="I112" t="s">
        <v>2663</v>
      </c>
      <c r="J112" t="s">
        <v>2533</v>
      </c>
      <c r="K112" t="s">
        <v>2533</v>
      </c>
      <c r="L112" t="s">
        <v>2533</v>
      </c>
      <c r="M112" t="s">
        <v>2533</v>
      </c>
      <c r="N112" t="s">
        <v>2533</v>
      </c>
      <c r="O112" t="s">
        <v>2533</v>
      </c>
      <c r="P112" t="s">
        <v>2533</v>
      </c>
      <c r="Q112" t="s">
        <v>2664</v>
      </c>
      <c r="R112" t="s">
        <v>2665</v>
      </c>
      <c r="S112" t="s">
        <v>2533</v>
      </c>
      <c r="T112" t="s">
        <v>2533</v>
      </c>
      <c r="U112" t="s">
        <v>2533</v>
      </c>
      <c r="V112" t="s">
        <v>2533</v>
      </c>
      <c r="W112" t="s">
        <v>2666</v>
      </c>
      <c r="X112" t="s">
        <v>2667</v>
      </c>
      <c r="Y112" t="s">
        <v>2668</v>
      </c>
      <c r="Z112" t="s">
        <v>2533</v>
      </c>
      <c r="AA112" t="s">
        <v>2533</v>
      </c>
      <c r="AB112" t="s">
        <v>2669</v>
      </c>
      <c r="AC112" t="s">
        <v>2670</v>
      </c>
      <c r="AD112" t="s">
        <v>2533</v>
      </c>
      <c r="AE112" t="s">
        <v>2533</v>
      </c>
      <c r="AF112" t="s">
        <v>2671</v>
      </c>
      <c r="AG112" t="s">
        <v>2668</v>
      </c>
      <c r="AH112" t="s">
        <v>2533</v>
      </c>
      <c r="AI112" t="s">
        <v>2533</v>
      </c>
      <c r="AJ112" t="s">
        <v>2533</v>
      </c>
      <c r="AK112" t="s">
        <v>2533</v>
      </c>
      <c r="AL112" t="s">
        <v>2672</v>
      </c>
      <c r="AM112" t="s">
        <v>2533</v>
      </c>
      <c r="AN112" t="s">
        <v>2533</v>
      </c>
      <c r="AO112" t="s">
        <v>2673</v>
      </c>
      <c r="AP112" t="s">
        <v>2674</v>
      </c>
    </row>
    <row r="113" spans="1:42" x14ac:dyDescent="0.2">
      <c r="A113" s="50" t="s">
        <v>2531</v>
      </c>
      <c r="B113" t="s">
        <v>2531</v>
      </c>
      <c r="C113" t="s">
        <v>2675</v>
      </c>
      <c r="D113" t="s">
        <v>2531</v>
      </c>
      <c r="E113" t="s">
        <v>2531</v>
      </c>
      <c r="F113" t="s">
        <v>2531</v>
      </c>
      <c r="G113" t="s">
        <v>2531</v>
      </c>
      <c r="H113" t="s">
        <v>2676</v>
      </c>
      <c r="I113" t="s">
        <v>2677</v>
      </c>
      <c r="J113" t="s">
        <v>2531</v>
      </c>
      <c r="K113" t="s">
        <v>2531</v>
      </c>
      <c r="L113" t="s">
        <v>2531</v>
      </c>
      <c r="M113" t="s">
        <v>2531</v>
      </c>
      <c r="N113" t="s">
        <v>2531</v>
      </c>
      <c r="O113" t="s">
        <v>2531</v>
      </c>
      <c r="P113" t="s">
        <v>2531</v>
      </c>
      <c r="Q113" t="s">
        <v>2678</v>
      </c>
      <c r="R113" t="s">
        <v>2679</v>
      </c>
      <c r="S113" t="s">
        <v>2531</v>
      </c>
      <c r="T113" t="s">
        <v>2531</v>
      </c>
      <c r="U113" t="s">
        <v>2531</v>
      </c>
      <c r="V113" t="s">
        <v>2531</v>
      </c>
      <c r="W113" t="s">
        <v>2680</v>
      </c>
      <c r="X113" t="s">
        <v>2681</v>
      </c>
      <c r="Y113" t="s">
        <v>2682</v>
      </c>
      <c r="Z113" t="s">
        <v>2531</v>
      </c>
      <c r="AA113" t="s">
        <v>2531</v>
      </c>
      <c r="AB113" t="s">
        <v>2683</v>
      </c>
      <c r="AC113" t="s">
        <v>2531</v>
      </c>
      <c r="AD113" t="s">
        <v>2531</v>
      </c>
      <c r="AE113" t="s">
        <v>2531</v>
      </c>
      <c r="AF113" t="s">
        <v>2684</v>
      </c>
      <c r="AG113" t="s">
        <v>2682</v>
      </c>
      <c r="AH113" t="s">
        <v>2685</v>
      </c>
      <c r="AI113" t="s">
        <v>2531</v>
      </c>
      <c r="AJ113" t="s">
        <v>2531</v>
      </c>
      <c r="AK113" t="s">
        <v>2531</v>
      </c>
      <c r="AL113" t="s">
        <v>2686</v>
      </c>
      <c r="AM113" t="s">
        <v>2531</v>
      </c>
      <c r="AN113" t="s">
        <v>2531</v>
      </c>
      <c r="AO113" t="s">
        <v>2684</v>
      </c>
      <c r="AP113" t="s">
        <v>2687</v>
      </c>
    </row>
    <row r="114" spans="1:42" x14ac:dyDescent="0.2">
      <c r="A114" s="50" t="s">
        <v>2525</v>
      </c>
      <c r="B114" t="s">
        <v>2525</v>
      </c>
      <c r="C114" t="s">
        <v>2688</v>
      </c>
      <c r="D114" t="s">
        <v>2525</v>
      </c>
      <c r="E114" t="s">
        <v>2525</v>
      </c>
      <c r="F114" t="s">
        <v>2525</v>
      </c>
      <c r="G114" t="s">
        <v>2525</v>
      </c>
      <c r="H114" t="s">
        <v>2689</v>
      </c>
      <c r="I114" t="s">
        <v>2690</v>
      </c>
      <c r="J114" t="s">
        <v>2525</v>
      </c>
      <c r="K114" t="s">
        <v>2525</v>
      </c>
      <c r="L114" t="s">
        <v>2525</v>
      </c>
      <c r="M114" t="s">
        <v>2525</v>
      </c>
      <c r="N114" t="s">
        <v>2525</v>
      </c>
      <c r="O114" t="s">
        <v>2525</v>
      </c>
      <c r="P114" t="s">
        <v>2525</v>
      </c>
      <c r="Q114" t="s">
        <v>2691</v>
      </c>
      <c r="R114" t="s">
        <v>2692</v>
      </c>
      <c r="S114" t="s">
        <v>2525</v>
      </c>
      <c r="T114" t="s">
        <v>2525</v>
      </c>
      <c r="U114" t="s">
        <v>2525</v>
      </c>
      <c r="V114" t="s">
        <v>2525</v>
      </c>
      <c r="W114" t="s">
        <v>2693</v>
      </c>
      <c r="X114" t="s">
        <v>2694</v>
      </c>
      <c r="Y114" t="s">
        <v>2695</v>
      </c>
      <c r="Z114" t="s">
        <v>2525</v>
      </c>
      <c r="AA114" t="s">
        <v>2525</v>
      </c>
      <c r="AB114" t="s">
        <v>2696</v>
      </c>
      <c r="AC114" t="s">
        <v>2525</v>
      </c>
      <c r="AD114" t="s">
        <v>2697</v>
      </c>
      <c r="AE114" t="s">
        <v>2525</v>
      </c>
      <c r="AF114" t="s">
        <v>2698</v>
      </c>
      <c r="AG114" t="s">
        <v>2695</v>
      </c>
      <c r="AH114" t="s">
        <v>2699</v>
      </c>
      <c r="AI114" t="s">
        <v>2525</v>
      </c>
      <c r="AJ114" t="s">
        <v>2525</v>
      </c>
      <c r="AK114" t="s">
        <v>2525</v>
      </c>
      <c r="AL114" t="s">
        <v>2700</v>
      </c>
      <c r="AM114" t="s">
        <v>2525</v>
      </c>
      <c r="AN114" t="s">
        <v>2525</v>
      </c>
      <c r="AO114" t="s">
        <v>2701</v>
      </c>
      <c r="AP114" t="s">
        <v>2702</v>
      </c>
    </row>
    <row r="115" spans="1:42" x14ac:dyDescent="0.2">
      <c r="A115" t="s">
        <v>2096</v>
      </c>
      <c r="B115" t="s">
        <v>2097</v>
      </c>
      <c r="C115" t="s">
        <v>2098</v>
      </c>
      <c r="D115" t="s">
        <v>2099</v>
      </c>
      <c r="E115" t="s">
        <v>2100</v>
      </c>
      <c r="F115" t="s">
        <v>2101</v>
      </c>
      <c r="G115" t="s">
        <v>2102</v>
      </c>
      <c r="H115" t="s">
        <v>2103</v>
      </c>
      <c r="I115" t="s">
        <v>2104</v>
      </c>
      <c r="J115" t="s">
        <v>2105</v>
      </c>
      <c r="K115" t="s">
        <v>2106</v>
      </c>
      <c r="L115" t="s">
        <v>2107</v>
      </c>
      <c r="M115" t="s">
        <v>2108</v>
      </c>
      <c r="N115" t="s">
        <v>2109</v>
      </c>
      <c r="O115" t="s">
        <v>2110</v>
      </c>
      <c r="P115" t="s">
        <v>2111</v>
      </c>
      <c r="Q115" t="s">
        <v>2112</v>
      </c>
      <c r="R115" t="s">
        <v>2113</v>
      </c>
      <c r="S115" t="s">
        <v>2114</v>
      </c>
      <c r="T115" t="s">
        <v>2115</v>
      </c>
      <c r="U115" t="s">
        <v>2116</v>
      </c>
      <c r="V115" t="s">
        <v>2117</v>
      </c>
      <c r="W115" t="s">
        <v>2118</v>
      </c>
      <c r="X115" t="s">
        <v>2119</v>
      </c>
      <c r="Y115" t="s">
        <v>2120</v>
      </c>
      <c r="Z115" t="s">
        <v>2121</v>
      </c>
      <c r="AA115" t="s">
        <v>2122</v>
      </c>
      <c r="AB115" t="s">
        <v>2123</v>
      </c>
      <c r="AC115" t="s">
        <v>2124</v>
      </c>
      <c r="AD115" t="s">
        <v>2125</v>
      </c>
      <c r="AE115" t="s">
        <v>2126</v>
      </c>
      <c r="AF115" t="s">
        <v>2127</v>
      </c>
      <c r="AG115" t="s">
        <v>2128</v>
      </c>
      <c r="AH115" t="s">
        <v>2129</v>
      </c>
      <c r="AI115" t="s">
        <v>2130</v>
      </c>
      <c r="AJ115" t="s">
        <v>2131</v>
      </c>
      <c r="AK115" t="s">
        <v>2132</v>
      </c>
      <c r="AL115" t="s">
        <v>2133</v>
      </c>
      <c r="AM115" t="s">
        <v>2134</v>
      </c>
      <c r="AN115" t="s">
        <v>2135</v>
      </c>
      <c r="AO115" t="s">
        <v>2136</v>
      </c>
      <c r="AP115" t="s">
        <v>2137</v>
      </c>
    </row>
  </sheetData>
  <sortState ref="A103:A114">
    <sortCondition ref="A103:A114"/>
  </sortState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P47"/>
  <sheetViews>
    <sheetView showGridLines="0" workbookViewId="0">
      <selection activeCell="F14" sqref="F14"/>
    </sheetView>
  </sheetViews>
  <sheetFormatPr defaultRowHeight="12.75" x14ac:dyDescent="0.2"/>
  <cols>
    <col min="1" max="1" width="1.85546875" style="7" customWidth="1"/>
    <col min="2" max="2" width="21.85546875" style="7" customWidth="1"/>
    <col min="3" max="3" width="19.42578125" style="8" customWidth="1"/>
    <col min="4" max="4" width="2.5703125" style="7" customWidth="1"/>
    <col min="5" max="5" width="2.140625" style="7" customWidth="1"/>
    <col min="6" max="6" width="16.28515625" style="40" customWidth="1"/>
    <col min="7" max="7" width="28.5703125" style="40" customWidth="1"/>
    <col min="8" max="8" width="2.5703125" style="40" customWidth="1"/>
    <col min="9" max="16" width="9.140625" style="40"/>
    <col min="17" max="16384" width="9.140625" style="7"/>
  </cols>
  <sheetData>
    <row r="2" spans="2:8" ht="16.5" thickBot="1" x14ac:dyDescent="0.3">
      <c r="B2" s="9" t="s">
        <v>903</v>
      </c>
      <c r="C2" s="10"/>
      <c r="D2" s="11"/>
      <c r="F2" s="9" t="s">
        <v>569</v>
      </c>
      <c r="G2" s="10"/>
      <c r="H2" s="11"/>
    </row>
    <row r="3" spans="2:8" x14ac:dyDescent="0.2">
      <c r="B3" s="12"/>
      <c r="C3" s="13"/>
      <c r="D3" s="14"/>
      <c r="F3" s="12"/>
      <c r="G3" s="13"/>
      <c r="H3" s="14"/>
    </row>
    <row r="4" spans="2:8" x14ac:dyDescent="0.2">
      <c r="B4" s="15" t="s">
        <v>844</v>
      </c>
      <c r="C4" s="69" t="s">
        <v>1489</v>
      </c>
      <c r="D4" s="14"/>
      <c r="F4" s="12"/>
      <c r="G4" s="49"/>
      <c r="H4" s="14"/>
    </row>
    <row r="5" spans="2:8" x14ac:dyDescent="0.2">
      <c r="B5" s="12"/>
      <c r="C5" s="13"/>
      <c r="D5" s="14"/>
      <c r="F5" s="42" t="s">
        <v>987</v>
      </c>
      <c r="G5" s="163" t="s">
        <v>1456</v>
      </c>
      <c r="H5" s="14"/>
    </row>
    <row r="6" spans="2:8" x14ac:dyDescent="0.2">
      <c r="B6" s="15" t="s">
        <v>873</v>
      </c>
      <c r="C6" s="21" t="s">
        <v>2537</v>
      </c>
      <c r="D6" s="14"/>
      <c r="F6" s="42" t="s">
        <v>988</v>
      </c>
      <c r="G6" s="164" t="s">
        <v>2711</v>
      </c>
      <c r="H6" s="14"/>
    </row>
    <row r="7" spans="2:8" x14ac:dyDescent="0.2">
      <c r="B7" s="12"/>
      <c r="C7" s="13"/>
      <c r="D7" s="14"/>
      <c r="F7" s="42" t="s">
        <v>989</v>
      </c>
      <c r="G7" s="164" t="s">
        <v>2712</v>
      </c>
      <c r="H7" s="14"/>
    </row>
    <row r="8" spans="2:8" x14ac:dyDescent="0.2">
      <c r="B8" s="15" t="s">
        <v>874</v>
      </c>
      <c r="C8" s="51" t="s">
        <v>843</v>
      </c>
      <c r="D8" s="14"/>
      <c r="F8" s="42" t="s">
        <v>990</v>
      </c>
      <c r="G8" s="164" t="s">
        <v>2713</v>
      </c>
      <c r="H8" s="14"/>
    </row>
    <row r="9" spans="2:8" x14ac:dyDescent="0.2">
      <c r="B9" s="12"/>
      <c r="C9" s="13"/>
      <c r="D9" s="14"/>
      <c r="F9" s="42" t="s">
        <v>991</v>
      </c>
      <c r="G9" s="43" t="s">
        <v>985</v>
      </c>
      <c r="H9" s="14"/>
    </row>
    <row r="10" spans="2:8" x14ac:dyDescent="0.2">
      <c r="B10" s="15" t="s">
        <v>876</v>
      </c>
      <c r="C10" s="16" t="s">
        <v>877</v>
      </c>
      <c r="D10" s="14"/>
      <c r="F10" s="12"/>
      <c r="G10" s="41"/>
      <c r="H10" s="14"/>
    </row>
    <row r="11" spans="2:8" x14ac:dyDescent="0.2">
      <c r="B11" s="17"/>
      <c r="C11" s="18"/>
      <c r="D11" s="19"/>
      <c r="F11" s="17"/>
      <c r="G11" s="18"/>
      <c r="H11" s="19"/>
    </row>
    <row r="12" spans="2:8" x14ac:dyDescent="0.2">
      <c r="B12" s="20"/>
      <c r="C12" s="20"/>
      <c r="D12" s="20"/>
      <c r="E12" s="20"/>
    </row>
    <row r="13" spans="2:8" x14ac:dyDescent="0.2">
      <c r="B13" s="35"/>
      <c r="C13" s="36"/>
      <c r="D13" s="37"/>
      <c r="F13" s="45" t="s">
        <v>904</v>
      </c>
      <c r="G13" s="45">
        <f>IF(ISERROR(MATCH(C4,lang_list,0)),1,MATCH(C4,lang_list,0))</f>
        <v>22</v>
      </c>
      <c r="H13" s="46"/>
    </row>
    <row r="14" spans="2:8" ht="16.5" thickBot="1" x14ac:dyDescent="0.3">
      <c r="B14" s="12"/>
      <c r="C14" s="39" t="s">
        <v>985</v>
      </c>
      <c r="D14" s="14"/>
      <c r="F14" s="45" t="s">
        <v>905</v>
      </c>
      <c r="G14" s="47">
        <f>TIME(VLOOKUP(C8,F16:G39,2,FALSE),VLOOKUP(C10,F41:G44,2,FALSE),0)+IF(C6="Yes",TIME(1,0,0),0)</f>
        <v>0.5</v>
      </c>
      <c r="H14" s="46"/>
    </row>
    <row r="15" spans="2:8" x14ac:dyDescent="0.2">
      <c r="B15" s="38" t="str">
        <f>INDEX(T,66,lang)</f>
        <v>Spagna</v>
      </c>
      <c r="C15" s="122">
        <v>1460</v>
      </c>
      <c r="D15" s="14"/>
      <c r="F15" s="45"/>
      <c r="G15" s="45"/>
      <c r="H15" s="46"/>
    </row>
    <row r="16" spans="2:8" x14ac:dyDescent="0.2">
      <c r="B16" s="38" t="str">
        <f>INDEX(T,50,lang)</f>
        <v>Germania</v>
      </c>
      <c r="C16" s="123">
        <v>1340</v>
      </c>
      <c r="D16" s="14"/>
      <c r="F16" s="45" t="s">
        <v>878</v>
      </c>
      <c r="G16" s="45">
        <v>0</v>
      </c>
      <c r="H16" s="46"/>
    </row>
    <row r="17" spans="2:8" x14ac:dyDescent="0.2">
      <c r="B17" s="38" t="str">
        <f>INDEX(T,65,lang)</f>
        <v>Portogallo</v>
      </c>
      <c r="C17" s="123">
        <v>1245</v>
      </c>
      <c r="D17" s="14"/>
      <c r="F17" s="45" t="s">
        <v>879</v>
      </c>
      <c r="G17" s="45">
        <v>1</v>
      </c>
      <c r="H17" s="46"/>
    </row>
    <row r="18" spans="2:8" x14ac:dyDescent="0.2">
      <c r="B18" s="38" t="str">
        <f>INDEX(T,52,lang)</f>
        <v>Colombia</v>
      </c>
      <c r="C18" s="123">
        <v>1186</v>
      </c>
      <c r="D18" s="14"/>
      <c r="F18" s="45" t="s">
        <v>880</v>
      </c>
      <c r="G18" s="45">
        <v>2</v>
      </c>
      <c r="H18" s="46"/>
    </row>
    <row r="19" spans="2:8" x14ac:dyDescent="0.2">
      <c r="B19" s="38" t="str">
        <f>INDEX(T,40,lang)</f>
        <v>Uruguay</v>
      </c>
      <c r="C19" s="123">
        <v>1181</v>
      </c>
      <c r="D19" s="14"/>
      <c r="F19" s="45" t="s">
        <v>881</v>
      </c>
      <c r="G19" s="45">
        <v>3</v>
      </c>
      <c r="H19" s="46"/>
    </row>
    <row r="20" spans="2:8" x14ac:dyDescent="0.2">
      <c r="B20" s="38" t="str">
        <f>INDEX(T,42,lang)</f>
        <v>Argentina</v>
      </c>
      <c r="C20" s="123">
        <v>1174</v>
      </c>
      <c r="D20" s="14"/>
      <c r="F20" s="45" t="s">
        <v>882</v>
      </c>
      <c r="G20" s="45">
        <v>4</v>
      </c>
      <c r="H20" s="46"/>
    </row>
    <row r="21" spans="2:8" x14ac:dyDescent="0.2">
      <c r="B21" s="38" t="str">
        <f>INDEX(T,62,lang)</f>
        <v>Brasile</v>
      </c>
      <c r="C21" s="123">
        <v>1174</v>
      </c>
      <c r="D21" s="14"/>
      <c r="F21" s="45" t="s">
        <v>883</v>
      </c>
      <c r="G21" s="45">
        <v>5</v>
      </c>
      <c r="H21" s="46"/>
    </row>
    <row r="22" spans="2:8" x14ac:dyDescent="0.2">
      <c r="B22" s="38" t="str">
        <f>INDEX(T,67,lang)</f>
        <v>Svizzera</v>
      </c>
      <c r="C22" s="123">
        <v>1161</v>
      </c>
      <c r="D22" s="14"/>
      <c r="F22" s="45" t="s">
        <v>884</v>
      </c>
      <c r="G22" s="45">
        <v>6</v>
      </c>
      <c r="H22" s="46"/>
    </row>
    <row r="23" spans="2:8" x14ac:dyDescent="0.2">
      <c r="B23" s="38" t="str">
        <f>INDEX(T,58,lang)</f>
        <v>Italia</v>
      </c>
      <c r="C23" s="123">
        <v>1115</v>
      </c>
      <c r="D23" s="14"/>
      <c r="F23" s="45" t="s">
        <v>885</v>
      </c>
      <c r="G23" s="45">
        <v>7</v>
      </c>
      <c r="H23" s="46"/>
    </row>
    <row r="24" spans="2:8" x14ac:dyDescent="0.2">
      <c r="B24" s="38" t="str">
        <f>INDEX(T,45,lang)</f>
        <v>Grecia</v>
      </c>
      <c r="C24" s="123">
        <v>1082</v>
      </c>
      <c r="D24" s="14"/>
      <c r="F24" s="45" t="s">
        <v>886</v>
      </c>
      <c r="G24" s="45">
        <v>8</v>
      </c>
      <c r="H24" s="46"/>
    </row>
    <row r="25" spans="2:8" x14ac:dyDescent="0.2">
      <c r="B25" s="38" t="str">
        <f>INDEX(T,46,lang)</f>
        <v>Inghilterra</v>
      </c>
      <c r="C25" s="123">
        <v>1043</v>
      </c>
      <c r="D25" s="14"/>
      <c r="F25" s="45" t="s">
        <v>887</v>
      </c>
      <c r="G25" s="45">
        <v>9</v>
      </c>
      <c r="H25" s="46"/>
    </row>
    <row r="26" spans="2:8" x14ac:dyDescent="0.2">
      <c r="B26" s="38" t="str">
        <f>INDEX(T,63,lang)</f>
        <v>Belgio</v>
      </c>
      <c r="C26" s="123">
        <v>1039</v>
      </c>
      <c r="D26" s="14"/>
      <c r="F26" s="45" t="s">
        <v>888</v>
      </c>
      <c r="G26" s="45">
        <v>10</v>
      </c>
      <c r="H26" s="46"/>
    </row>
    <row r="27" spans="2:8" x14ac:dyDescent="0.2">
      <c r="B27" s="38" t="str">
        <f>INDEX(T,47,lang)</f>
        <v>Stati Uniti d'America</v>
      </c>
      <c r="C27" s="123">
        <v>1015</v>
      </c>
      <c r="D27" s="14"/>
      <c r="F27" s="45" t="s">
        <v>843</v>
      </c>
      <c r="G27" s="45">
        <v>11</v>
      </c>
      <c r="H27" s="46"/>
    </row>
    <row r="28" spans="2:8" x14ac:dyDescent="0.2">
      <c r="B28" s="38" t="str">
        <f>INDEX(T,69,lang)</f>
        <v>Cile</v>
      </c>
      <c r="C28" s="123">
        <v>1011</v>
      </c>
      <c r="D28" s="14"/>
      <c r="F28" s="45" t="s">
        <v>875</v>
      </c>
      <c r="G28" s="45">
        <v>12</v>
      </c>
      <c r="H28" s="46"/>
    </row>
    <row r="29" spans="2:8" x14ac:dyDescent="0.2">
      <c r="B29" s="38" t="str">
        <f>INDEX(T,54,lang)</f>
        <v>Paesi Bassi</v>
      </c>
      <c r="C29" s="123">
        <v>967</v>
      </c>
      <c r="D29" s="14"/>
      <c r="F29" s="45" t="s">
        <v>889</v>
      </c>
      <c r="G29" s="45">
        <v>13</v>
      </c>
      <c r="H29" s="46"/>
    </row>
    <row r="30" spans="2:8" x14ac:dyDescent="0.2">
      <c r="B30" s="38" t="str">
        <f>INDEX(T,41,lang)</f>
        <v>Francia</v>
      </c>
      <c r="C30" s="123">
        <v>935</v>
      </c>
      <c r="D30" s="14"/>
      <c r="F30" s="45" t="s">
        <v>890</v>
      </c>
      <c r="G30" s="45">
        <v>14</v>
      </c>
      <c r="H30" s="46"/>
    </row>
    <row r="31" spans="2:8" x14ac:dyDescent="0.2">
      <c r="B31" s="38" t="str">
        <f>INDEX(T,49,lang)</f>
        <v>Russia</v>
      </c>
      <c r="C31" s="123">
        <v>903</v>
      </c>
      <c r="D31" s="14"/>
      <c r="F31" s="45" t="s">
        <v>891</v>
      </c>
      <c r="G31" s="45">
        <v>15</v>
      </c>
      <c r="H31" s="46"/>
    </row>
    <row r="32" spans="2:8" x14ac:dyDescent="0.2">
      <c r="B32" s="38" t="str">
        <f>INDEX(T,39,lang)</f>
        <v>Messico</v>
      </c>
      <c r="C32" s="123">
        <v>876</v>
      </c>
      <c r="D32" s="14"/>
      <c r="F32" s="45" t="s">
        <v>892</v>
      </c>
      <c r="G32" s="45">
        <v>16</v>
      </c>
      <c r="H32" s="46"/>
    </row>
    <row r="33" spans="2:8" x14ac:dyDescent="0.2">
      <c r="B33" s="38" t="str">
        <f>INDEX(T,38,lang)</f>
        <v>Croazia</v>
      </c>
      <c r="C33" s="123">
        <v>871</v>
      </c>
      <c r="D33" s="14"/>
      <c r="F33" s="45" t="s">
        <v>893</v>
      </c>
      <c r="G33" s="45">
        <v>17</v>
      </c>
      <c r="H33" s="46"/>
    </row>
    <row r="34" spans="2:8" x14ac:dyDescent="0.2">
      <c r="B34" s="38" t="str">
        <f>INDEX(T,64,lang)</f>
        <v>Costa d' Avorio</v>
      </c>
      <c r="C34" s="123">
        <v>830</v>
      </c>
      <c r="D34" s="14"/>
      <c r="F34" s="45" t="s">
        <v>894</v>
      </c>
      <c r="G34" s="45">
        <v>18</v>
      </c>
      <c r="H34" s="46"/>
    </row>
    <row r="35" spans="2:8" x14ac:dyDescent="0.2">
      <c r="B35" s="38" t="str">
        <f>INDEX(T,48,lang)</f>
        <v>Algeria</v>
      </c>
      <c r="C35" s="123">
        <v>795</v>
      </c>
      <c r="D35" s="14"/>
      <c r="F35" s="45" t="s">
        <v>895</v>
      </c>
      <c r="G35" s="45">
        <v>19</v>
      </c>
      <c r="H35" s="46"/>
    </row>
    <row r="36" spans="2:8" x14ac:dyDescent="0.2">
      <c r="B36" s="38" t="str">
        <f>INDEX(T,60,lang)</f>
        <v>Bosnia - Erzegovina</v>
      </c>
      <c r="C36" s="123">
        <v>795</v>
      </c>
      <c r="D36" s="14"/>
      <c r="F36" s="45" t="s">
        <v>896</v>
      </c>
      <c r="G36" s="45">
        <v>20</v>
      </c>
      <c r="H36" s="46"/>
    </row>
    <row r="37" spans="2:8" x14ac:dyDescent="0.2">
      <c r="B37" s="38" t="str">
        <f>INDEX(T,59,lang)</f>
        <v>Ecuador</v>
      </c>
      <c r="C37" s="123">
        <v>790</v>
      </c>
      <c r="D37" s="14"/>
      <c r="F37" s="45" t="s">
        <v>897</v>
      </c>
      <c r="G37" s="45">
        <v>21</v>
      </c>
      <c r="H37" s="46"/>
    </row>
    <row r="38" spans="2:8" x14ac:dyDescent="0.2">
      <c r="B38" s="38" t="str">
        <f>INDEX(T,55,lang)</f>
        <v>Costarica</v>
      </c>
      <c r="C38" s="123">
        <v>744</v>
      </c>
      <c r="D38" s="14"/>
      <c r="F38" s="45" t="s">
        <v>898</v>
      </c>
      <c r="G38" s="45">
        <v>22</v>
      </c>
      <c r="H38" s="46"/>
    </row>
    <row r="39" spans="2:8" x14ac:dyDescent="0.2">
      <c r="B39" s="38" t="str">
        <f>INDEX(T,68,lang)</f>
        <v>Honduras</v>
      </c>
      <c r="C39" s="123">
        <v>754</v>
      </c>
      <c r="D39" s="14"/>
      <c r="F39" s="45" t="s">
        <v>899</v>
      </c>
      <c r="G39" s="45">
        <v>23</v>
      </c>
      <c r="H39" s="46"/>
    </row>
    <row r="40" spans="2:8" x14ac:dyDescent="0.2">
      <c r="B40" s="38" t="str">
        <f>INDEX(T,61,lang)</f>
        <v>Iran</v>
      </c>
      <c r="C40" s="123">
        <v>715</v>
      </c>
      <c r="D40" s="14"/>
      <c r="F40" s="45"/>
      <c r="G40" s="45"/>
      <c r="H40" s="46"/>
    </row>
    <row r="41" spans="2:8" x14ac:dyDescent="0.2">
      <c r="B41" s="38" t="str">
        <f>INDEX(T,53,lang)</f>
        <v>Ghana</v>
      </c>
      <c r="C41" s="123">
        <v>713</v>
      </c>
      <c r="D41" s="14"/>
      <c r="F41" s="48" t="s">
        <v>877</v>
      </c>
      <c r="G41" s="45">
        <v>0</v>
      </c>
      <c r="H41" s="46"/>
    </row>
    <row r="42" spans="2:8" x14ac:dyDescent="0.2">
      <c r="B42" s="38" t="str">
        <f>INDEX(T,43,lang)</f>
        <v>Nigeria</v>
      </c>
      <c r="C42" s="123">
        <v>620</v>
      </c>
      <c r="D42" s="14"/>
      <c r="F42" s="48" t="s">
        <v>900</v>
      </c>
      <c r="G42" s="45">
        <v>15</v>
      </c>
      <c r="H42" s="46"/>
    </row>
    <row r="43" spans="2:8" x14ac:dyDescent="0.2">
      <c r="B43" s="38" t="str">
        <f>INDEX(T,56,lang)</f>
        <v>Giappone</v>
      </c>
      <c r="C43" s="123">
        <v>613</v>
      </c>
      <c r="D43" s="14"/>
      <c r="F43" s="48" t="s">
        <v>901</v>
      </c>
      <c r="G43" s="45">
        <v>30</v>
      </c>
      <c r="H43" s="46"/>
    </row>
    <row r="44" spans="2:8" x14ac:dyDescent="0.2">
      <c r="B44" s="38" t="str">
        <f>INDEX(T,57,lang)</f>
        <v>Camerun</v>
      </c>
      <c r="C44" s="123">
        <v>583</v>
      </c>
      <c r="D44" s="14"/>
      <c r="F44" s="48" t="s">
        <v>902</v>
      </c>
      <c r="G44" s="45">
        <v>45</v>
      </c>
      <c r="H44" s="46"/>
    </row>
    <row r="45" spans="2:8" x14ac:dyDescent="0.2">
      <c r="B45" s="38" t="str">
        <f>INDEX(T,44,lang)</f>
        <v>Corea del Sud</v>
      </c>
      <c r="C45" s="123">
        <v>551</v>
      </c>
      <c r="D45" s="14"/>
      <c r="F45" s="48"/>
      <c r="G45" s="45"/>
      <c r="H45" s="46"/>
    </row>
    <row r="46" spans="2:8" x14ac:dyDescent="0.2">
      <c r="B46" s="38" t="str">
        <f>INDEX(T,51,lang)</f>
        <v>Australia</v>
      </c>
      <c r="C46" s="124">
        <v>545</v>
      </c>
      <c r="D46" s="14"/>
      <c r="F46" s="46" t="s">
        <v>986</v>
      </c>
      <c r="G46" s="47">
        <f>IF(G4="Type 2",0,1)</f>
        <v>1</v>
      </c>
      <c r="H46" s="46"/>
    </row>
    <row r="47" spans="2:8" x14ac:dyDescent="0.2">
      <c r="B47" s="17"/>
      <c r="C47" s="18"/>
      <c r="D47" s="19"/>
      <c r="F47" s="46"/>
      <c r="G47" s="46"/>
      <c r="H47" s="46"/>
    </row>
  </sheetData>
  <phoneticPr fontId="3" type="noConversion"/>
  <dataValidations disablePrompts="1" count="5">
    <dataValidation type="list" allowBlank="1" showInputMessage="1" showErrorMessage="1" sqref="C6">
      <formula1>"Yes,No"</formula1>
    </dataValidation>
    <dataValidation type="list" allowBlank="1" showInputMessage="1" showErrorMessage="1" sqref="C4">
      <formula1>lang_list</formula1>
    </dataValidation>
    <dataValidation type="list" allowBlank="1" showInputMessage="1" showErrorMessage="1" promptTitle="Select GTM-time" prompt="Use drop-down List" sqref="C8">
      <formula1>$F$16:$F$39</formula1>
    </dataValidation>
    <dataValidation type="list" allowBlank="1" showInputMessage="1" showErrorMessage="1" promptTitle="Select Minutes" prompt="Use drop-down List" sqref="C10">
      <formula1>$F$41:$F$44</formula1>
    </dataValidation>
    <dataValidation type="decimal" allowBlank="1" showInputMessage="1" showErrorMessage="1" sqref="C15:C46">
      <formula1>1</formula1>
      <formula2>2000</formula2>
    </dataValidation>
  </dataValidations>
  <pageMargins left="0.75" right="0.75" top="1" bottom="1" header="0.5" footer="0.5"/>
  <pageSetup paperSize="9" orientation="portrait" r:id="rId1"/>
  <headerFooter alignWithMargins="0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Y97"/>
  <sheetViews>
    <sheetView showGridLines="0" tabSelected="1" zoomScaleNormal="100" workbookViewId="0">
      <selection activeCell="F25" sqref="F25"/>
    </sheetView>
  </sheetViews>
  <sheetFormatPr defaultRowHeight="12.75" x14ac:dyDescent="0.2"/>
  <cols>
    <col min="1" max="1" width="4.85546875" style="1" customWidth="1"/>
    <col min="2" max="2" width="5.7109375" style="1" customWidth="1"/>
    <col min="3" max="3" width="11.7109375" style="1" bestFit="1" customWidth="1"/>
    <col min="4" max="4" width="7.28515625" style="3" customWidth="1"/>
    <col min="5" max="5" width="22.5703125" style="4" customWidth="1"/>
    <col min="6" max="7" width="4.28515625" style="5" customWidth="1"/>
    <col min="8" max="8" width="22.5703125" style="6" customWidth="1"/>
    <col min="9" max="9" width="15.85546875" style="4" customWidth="1"/>
    <col min="10" max="11" width="3.85546875" style="4" customWidth="1"/>
    <col min="12" max="12" width="3.42578125" style="2" customWidth="1"/>
    <col min="13" max="13" width="14" style="25" customWidth="1"/>
    <col min="14" max="17" width="5.42578125" style="26" customWidth="1"/>
    <col min="18" max="18" width="7.7109375" style="26" customWidth="1"/>
    <col min="19" max="19" width="6.7109375" style="26" customWidth="1"/>
    <col min="20" max="20" width="3.42578125" style="44" customWidth="1"/>
    <col min="21" max="21" width="15.42578125" style="62" hidden="1" customWidth="1"/>
    <col min="22" max="23" width="16" style="68" hidden="1" customWidth="1"/>
    <col min="24" max="24" width="5" style="63" hidden="1" customWidth="1"/>
    <col min="25" max="26" width="6.140625" style="62" hidden="1" customWidth="1"/>
    <col min="27" max="27" width="4.28515625" style="63" hidden="1" customWidth="1"/>
    <col min="28" max="28" width="5.42578125" style="62" hidden="1" customWidth="1"/>
    <col min="29" max="29" width="13.42578125" style="63" hidden="1" customWidth="1"/>
    <col min="30" max="34" width="5.42578125" style="62" hidden="1" customWidth="1"/>
    <col min="35" max="37" width="6" style="62" hidden="1" customWidth="1"/>
    <col min="38" max="38" width="5.42578125" style="62" hidden="1" customWidth="1"/>
    <col min="39" max="39" width="6" style="62" hidden="1" customWidth="1"/>
    <col min="40" max="40" width="7.140625" style="63" hidden="1" customWidth="1"/>
    <col min="41" max="41" width="10" style="63" hidden="1" customWidth="1"/>
    <col min="42" max="42" width="15.28515625" style="64" hidden="1" customWidth="1"/>
    <col min="43" max="43" width="4.7109375" style="65" hidden="1" customWidth="1"/>
    <col min="44" max="47" width="4.7109375" style="66" hidden="1" customWidth="1"/>
    <col min="48" max="50" width="9.140625" style="67" hidden="1" customWidth="1"/>
    <col min="51" max="51" width="0" style="121" hidden="1" customWidth="1"/>
    <col min="52" max="16384" width="9.140625" style="2"/>
  </cols>
  <sheetData>
    <row r="1" spans="1:47" ht="46.5" x14ac:dyDescent="0.2">
      <c r="A1" s="165" t="str">
        <f>INDEX(T,2,lang)</f>
        <v>Calendario Coppa del mondo 2014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V1" s="62"/>
      <c r="W1" s="62"/>
      <c r="X1" s="62"/>
      <c r="AA1" s="62"/>
      <c r="AC1" s="62"/>
      <c r="AE1" s="63"/>
      <c r="AF1" s="63"/>
      <c r="AG1" s="64"/>
      <c r="AH1" s="65"/>
      <c r="AI1" s="66"/>
      <c r="AJ1" s="66"/>
      <c r="AK1" s="66"/>
      <c r="AL1" s="66"/>
      <c r="AM1" s="67"/>
      <c r="AN1" s="67"/>
      <c r="AO1" s="67"/>
      <c r="AP1" s="67"/>
      <c r="AQ1" s="67"/>
      <c r="AR1" s="67"/>
      <c r="AS1" s="67"/>
      <c r="AT1" s="67"/>
      <c r="AU1" s="67"/>
    </row>
    <row r="2" spans="1:47" ht="6.75" customHeight="1" x14ac:dyDescent="0.2">
      <c r="V2" s="62"/>
      <c r="W2" s="62"/>
      <c r="X2" s="62"/>
      <c r="AA2" s="62"/>
      <c r="AC2" s="62"/>
      <c r="AE2" s="63"/>
      <c r="AF2" s="63"/>
      <c r="AG2" s="64"/>
      <c r="AH2" s="65"/>
      <c r="AI2" s="66"/>
      <c r="AJ2" s="66"/>
      <c r="AK2" s="66"/>
      <c r="AL2" s="66"/>
      <c r="AM2" s="67"/>
      <c r="AN2" s="67"/>
      <c r="AO2" s="67"/>
      <c r="AP2" s="67"/>
      <c r="AQ2" s="67"/>
      <c r="AR2" s="67"/>
      <c r="AS2" s="67"/>
      <c r="AT2" s="67"/>
      <c r="AU2" s="67"/>
    </row>
    <row r="3" spans="1:47" ht="36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R3" s="141" t="str">
        <f>"Language: " &amp; Settings!C4</f>
        <v>Language: Italian</v>
      </c>
      <c r="S3" s="141"/>
      <c r="V3" s="62"/>
      <c r="W3" s="62"/>
      <c r="X3" s="62"/>
      <c r="AA3" s="62"/>
      <c r="AC3" s="62"/>
      <c r="AE3" s="63"/>
      <c r="AF3" s="63"/>
      <c r="AG3" s="64"/>
      <c r="AH3" s="65"/>
      <c r="AI3" s="66"/>
      <c r="AJ3" s="66"/>
      <c r="AK3" s="66"/>
      <c r="AL3" s="66"/>
      <c r="AM3" s="67"/>
      <c r="AN3" s="67"/>
      <c r="AO3" s="67"/>
      <c r="AP3" s="67"/>
      <c r="AQ3" s="67"/>
      <c r="AR3" s="67"/>
      <c r="AS3" s="67"/>
      <c r="AT3" s="67"/>
      <c r="AU3" s="67"/>
    </row>
    <row r="4" spans="1:47" ht="6.75" customHeight="1" x14ac:dyDescent="0.2"/>
    <row r="5" spans="1:47" ht="12.75" customHeight="1" x14ac:dyDescent="0.2">
      <c r="A5" s="142" t="str">
        <f>INDEX(T,3,lang)</f>
        <v>Fase a gironi</v>
      </c>
      <c r="B5" s="143"/>
      <c r="C5" s="143"/>
      <c r="D5" s="143"/>
      <c r="E5" s="143"/>
      <c r="F5" s="143"/>
      <c r="G5" s="143"/>
      <c r="H5" s="143"/>
      <c r="I5" s="143"/>
      <c r="J5" s="143"/>
      <c r="K5" s="144"/>
      <c r="M5" s="44"/>
      <c r="N5" s="44"/>
      <c r="O5" s="44"/>
      <c r="P5" s="44"/>
      <c r="Q5" s="44"/>
      <c r="R5" s="44"/>
      <c r="S5" s="44"/>
    </row>
    <row r="6" spans="1:47" ht="12.75" customHeight="1" x14ac:dyDescent="0.2">
      <c r="A6" s="145"/>
      <c r="B6" s="146"/>
      <c r="C6" s="146"/>
      <c r="D6" s="146"/>
      <c r="E6" s="146"/>
      <c r="F6" s="146"/>
      <c r="G6" s="146"/>
      <c r="H6" s="146"/>
      <c r="I6" s="146"/>
      <c r="J6" s="146"/>
      <c r="K6" s="147"/>
      <c r="M6" s="44"/>
      <c r="N6" s="44"/>
      <c r="O6" s="44"/>
      <c r="P6" s="44"/>
      <c r="Q6" s="44"/>
      <c r="R6" s="44"/>
      <c r="S6" s="44"/>
      <c r="U6" s="62" t="s">
        <v>835</v>
      </c>
      <c r="Y6" s="62" t="s">
        <v>804</v>
      </c>
      <c r="Z6" s="62" t="s">
        <v>805</v>
      </c>
      <c r="AB6" s="62" t="s">
        <v>803</v>
      </c>
      <c r="AC6" s="62" t="s">
        <v>802</v>
      </c>
      <c r="AD6" s="62" t="s">
        <v>797</v>
      </c>
      <c r="AE6" s="62" t="s">
        <v>798</v>
      </c>
      <c r="AF6" s="62" t="s">
        <v>799</v>
      </c>
      <c r="AG6" s="62" t="s">
        <v>804</v>
      </c>
      <c r="AH6" s="62" t="s">
        <v>805</v>
      </c>
      <c r="AI6" s="62" t="s">
        <v>974</v>
      </c>
      <c r="AJ6" s="62" t="s">
        <v>974</v>
      </c>
      <c r="AL6" s="62" t="s">
        <v>800</v>
      </c>
      <c r="AM6" s="62" t="s">
        <v>973</v>
      </c>
      <c r="AN6" s="62" t="s">
        <v>568</v>
      </c>
      <c r="AO6" s="62" t="s">
        <v>801</v>
      </c>
      <c r="AQ6" s="65" t="s">
        <v>797</v>
      </c>
      <c r="AR6" s="66" t="s">
        <v>798</v>
      </c>
      <c r="AS6" s="66" t="s">
        <v>804</v>
      </c>
      <c r="AT6" s="66" t="s">
        <v>805</v>
      </c>
      <c r="AU6" s="66" t="s">
        <v>567</v>
      </c>
    </row>
    <row r="7" spans="1:47" x14ac:dyDescent="0.2">
      <c r="A7" s="70">
        <v>1</v>
      </c>
      <c r="B7" s="71" t="str">
        <f t="shared" ref="B7:B54" si="0">INDEX(T,18+INT(MOD(U7-1,7)),lang)</f>
        <v>Gio</v>
      </c>
      <c r="C7" s="72" t="str">
        <f t="shared" ref="C7:C54" si="1">INDEX(T,24+MONTH(U7),lang) &amp; " " &amp; DAY(U7) &amp; ", " &amp; YEAR(U7)</f>
        <v>Giu 12, 2014</v>
      </c>
      <c r="D7" s="73">
        <f>TIME(HOUR(U7),MINUTE(U7),0)</f>
        <v>0.875</v>
      </c>
      <c r="E7" s="74" t="str">
        <f>AC8</f>
        <v>Brasile</v>
      </c>
      <c r="F7" s="133">
        <v>3</v>
      </c>
      <c r="G7" s="133">
        <v>1</v>
      </c>
      <c r="H7" s="85" t="str">
        <f>AC9</f>
        <v>Croazia</v>
      </c>
      <c r="I7" s="155" t="str">
        <f>INDEX(T,114,lang)</f>
        <v>Sao Paulo</v>
      </c>
      <c r="J7" s="156"/>
      <c r="K7" s="157"/>
      <c r="U7" s="62">
        <f>DATE(2014,6,12)+TIME(9,0,0)+gmt_delta</f>
        <v>41802.875</v>
      </c>
      <c r="V7" s="68" t="str">
        <f>IF(OR(F7="",G7=""),"",IF(F7&gt;G7,E7&amp;"_win",IF(F7&lt;G7,E7&amp;"_lose",E7&amp;"_draw")))</f>
        <v>Brasile_win</v>
      </c>
      <c r="W7" s="68" t="str">
        <f t="shared" ref="W7:W54" si="2">IF(V7="","",IF(F7&lt;G7,H7&amp;"_win",IF(F7&gt;G7,H7&amp;"_lose",H7&amp;"_draw")))</f>
        <v>Croazia_lose</v>
      </c>
      <c r="X7" s="63">
        <f>IF(V7="",0,IF(VLOOKUP(E7,$AC$8:$AL$53,7,FALSE)=VLOOKUP(H7,$AC$8:$AL$53,7,FALSE),1,0))</f>
        <v>0</v>
      </c>
      <c r="Y7" s="62">
        <f>X7*F7</f>
        <v>0</v>
      </c>
      <c r="Z7" s="62">
        <f>X7*G7</f>
        <v>0</v>
      </c>
    </row>
    <row r="8" spans="1:47" ht="12.75" customHeight="1" x14ac:dyDescent="0.2">
      <c r="A8" s="75">
        <v>2</v>
      </c>
      <c r="B8" s="76" t="str">
        <f t="shared" si="0"/>
        <v>Ven</v>
      </c>
      <c r="C8" s="77" t="str">
        <f t="shared" si="1"/>
        <v>Giu 13, 2014</v>
      </c>
      <c r="D8" s="78">
        <f t="shared" ref="D8:D54" si="3">TIME(HOUR(U8),MINUTE(U8),0)</f>
        <v>0.70833333333333337</v>
      </c>
      <c r="E8" s="79" t="str">
        <f>AC10</f>
        <v>Messico</v>
      </c>
      <c r="F8" s="133">
        <v>1</v>
      </c>
      <c r="G8" s="133">
        <v>0</v>
      </c>
      <c r="H8" s="86" t="str">
        <f>AC11</f>
        <v>Camerun</v>
      </c>
      <c r="I8" s="138" t="str">
        <f>INDEX(T,109,lang)</f>
        <v>natale</v>
      </c>
      <c r="J8" s="139"/>
      <c r="K8" s="140"/>
      <c r="M8" s="52" t="str">
        <f>INDEX(T,9,lang) &amp; " " &amp; "A"</f>
        <v>Gruppo A</v>
      </c>
      <c r="N8" s="53" t="str">
        <f>INDEX(T,10,lang)</f>
        <v>G</v>
      </c>
      <c r="O8" s="53" t="str">
        <f>INDEX(T,11,lang)</f>
        <v>V</v>
      </c>
      <c r="P8" s="53" t="str">
        <f>INDEX(T,12,lang)</f>
        <v>P</v>
      </c>
      <c r="Q8" s="53" t="str">
        <f>INDEX(T,13,lang)</f>
        <v>S</v>
      </c>
      <c r="R8" s="53" t="str">
        <f>INDEX(T,14,lang)</f>
        <v>GF - GS</v>
      </c>
      <c r="S8" s="53" t="str">
        <f>INDEX(T,15,lang)</f>
        <v>Punti</v>
      </c>
      <c r="U8" s="62">
        <f>DATE(2014,6,13)+TIME(5,0,0)+gmt_delta</f>
        <v>41803.708333333336</v>
      </c>
      <c r="V8" s="68" t="str">
        <f t="shared" ref="V8:V54" si="4">IF(OR(F8="",G8=""),"",IF(F8&gt;G8,E8&amp;"_win",IF(F8&lt;G8,E8&amp;"_lose",E8&amp;"_draw")))</f>
        <v>Messico_win</v>
      </c>
      <c r="W8" s="68" t="str">
        <f t="shared" si="2"/>
        <v>Camerun_lose</v>
      </c>
      <c r="X8" s="63">
        <f t="shared" ref="X8:X54" si="5">IF(V8="",0,IF(VLOOKUP(E8,$AC$8:$AL$53,7,FALSE)=VLOOKUP(H8,$AC$8:$AL$53,7,FALSE),1,0))</f>
        <v>0</v>
      </c>
      <c r="Y8" s="62">
        <f t="shared" ref="Y8:Y54" si="6">X8*F8</f>
        <v>0</v>
      </c>
      <c r="Z8" s="62">
        <f t="shared" ref="Z8:Z54" si="7">X8*G8</f>
        <v>0</v>
      </c>
      <c r="AB8" s="62">
        <f>COUNTIF(AO8:AO11,CONCATENATE("&gt;=",AO8))</f>
        <v>1</v>
      </c>
      <c r="AC8" s="63" t="str">
        <f>INDEX(T,62,lang)</f>
        <v>Brasile</v>
      </c>
      <c r="AD8" s="62">
        <f>COUNTIF($V$7:$W$54,"=" &amp; AC8 &amp; "_win")</f>
        <v>1</v>
      </c>
      <c r="AE8" s="62">
        <f>COUNTIF($V$7:$W$54,"=" &amp; AC8 &amp; "_draw")</f>
        <v>0</v>
      </c>
      <c r="AF8" s="62">
        <f>COUNTIF($V$7:$W$54,"=" &amp; AC8 &amp; "_lose")</f>
        <v>0</v>
      </c>
      <c r="AG8" s="62">
        <f>SUMIF($E$7:$E$54,$AC8,$F$7:$F$54) + SUMIF($H$7:$H$54,$AC8,$G$7:$G$54)</f>
        <v>3</v>
      </c>
      <c r="AH8" s="62">
        <f>SUMIF($E$7:$E$54,$AC8,$G$7:$G$54) + SUMIF($H$7:$H$54,$AC8,$F$7:$F$54)</f>
        <v>1</v>
      </c>
      <c r="AI8" s="62">
        <f>(AG8-AH8)+1</f>
        <v>3</v>
      </c>
      <c r="AJ8" s="62">
        <f>AG8-AH8</f>
        <v>2</v>
      </c>
      <c r="AK8" s="62">
        <f>(AJ8-AJ13)/AJ12</f>
        <v>0.8</v>
      </c>
      <c r="AL8" s="62">
        <f>AD8*3+AE8</f>
        <v>3</v>
      </c>
      <c r="AM8" s="62">
        <f>AQ8/AQ12*1000+AR8/AR12*100+AU8/AU12*10+AS8/AS12</f>
        <v>0</v>
      </c>
      <c r="AN8" s="62">
        <f>VLOOKUP(AC8,db_fifarank,2,FALSE)/2000000</f>
        <v>5.8699999999999996E-4</v>
      </c>
      <c r="AO8" s="63">
        <f>1000*AL8/AL12+100*AK8+10*AG8/AG12+1*AM8/AM12+AN8</f>
        <v>837.500587</v>
      </c>
      <c r="AP8" s="64" t="str">
        <f>IF(SUM(AD8:AF11)=12,M9,INDEX(T,70,lang))</f>
        <v>1A</v>
      </c>
      <c r="AQ8" s="65">
        <f>SUMPRODUCT(($V$7:$V$54=AC8&amp;"_win")*($X$7:$X$54))+SUMPRODUCT(($W$7:$W$54=AC8&amp;"_win")*($X$7:$X$54))</f>
        <v>0</v>
      </c>
      <c r="AR8" s="66">
        <f>SUMPRODUCT(($V$7:$V$54=AC8&amp;"_draw")*($X$7:$X$54))+SUMPRODUCT(($W$7:$W$54=AC8&amp;"_draw")*($X$7:$X$54))</f>
        <v>0</v>
      </c>
      <c r="AS8" s="66">
        <f>SUMPRODUCT(($E$7:$E$54=AC8)*($X$7:$X$54)*($F$7:$F$54))+SUMPRODUCT(($H$7:$H$54=AC8)*($X$7:$X$54)*($G$7:$G$54))</f>
        <v>0</v>
      </c>
      <c r="AT8" s="66">
        <f>SUMPRODUCT(($E$7:$E$54=AC8)*($X$7:$X$54)*($G$7:$G$54))+SUMPRODUCT(($H$7:$H$54=AC8)*($X$7:$X$54)*($F$7:$F$54))</f>
        <v>0</v>
      </c>
      <c r="AU8" s="66">
        <f>AS8-AT8</f>
        <v>0</v>
      </c>
    </row>
    <row r="9" spans="1:47" ht="12.75" customHeight="1" x14ac:dyDescent="0.2">
      <c r="A9" s="75">
        <v>3</v>
      </c>
      <c r="B9" s="76" t="str">
        <f t="shared" si="0"/>
        <v>Ven</v>
      </c>
      <c r="C9" s="77" t="str">
        <f t="shared" si="1"/>
        <v>Giu 13, 2014</v>
      </c>
      <c r="D9" s="78">
        <f t="shared" si="3"/>
        <v>0.83333333333333337</v>
      </c>
      <c r="E9" s="79" t="str">
        <f>AC14</f>
        <v>Spagna</v>
      </c>
      <c r="F9" s="133">
        <v>1</v>
      </c>
      <c r="G9" s="133">
        <v>5</v>
      </c>
      <c r="H9" s="86" t="str">
        <f>AC15</f>
        <v>Paesi Bassi</v>
      </c>
      <c r="I9" s="138" t="str">
        <f>INDEX(T,113,lang)</f>
        <v>Salvador</v>
      </c>
      <c r="J9" s="139"/>
      <c r="K9" s="140"/>
      <c r="M9" s="22" t="str">
        <f>VLOOKUP(1,AB8:AL11,2,FALSE)</f>
        <v>Brasile</v>
      </c>
      <c r="N9" s="27">
        <f>O9+P9+Q9</f>
        <v>1</v>
      </c>
      <c r="O9" s="27">
        <f>VLOOKUP(1,AB8:AL11,3,FALSE)</f>
        <v>1</v>
      </c>
      <c r="P9" s="27">
        <f>VLOOKUP(1,AB8:AL11,4,FALSE)</f>
        <v>0</v>
      </c>
      <c r="Q9" s="27">
        <f>VLOOKUP(1,AB8:AL11,5,FALSE)</f>
        <v>0</v>
      </c>
      <c r="R9" s="27" t="str">
        <f>VLOOKUP(1,AB8:AL11,6,FALSE) &amp; " - " &amp; VLOOKUP(1,AB8:AL11,7,FALSE)</f>
        <v>3 - 1</v>
      </c>
      <c r="S9" s="28">
        <f>O9*3+P9</f>
        <v>3</v>
      </c>
      <c r="U9" s="62">
        <f>DATE(2014,6,13)+TIME(8,0,0)+gmt_delta</f>
        <v>41803.833333333336</v>
      </c>
      <c r="V9" s="68" t="str">
        <f t="shared" si="4"/>
        <v>Spagna_lose</v>
      </c>
      <c r="W9" s="68" t="str">
        <f t="shared" si="2"/>
        <v>Paesi Bassi_win</v>
      </c>
      <c r="X9" s="63">
        <f t="shared" si="5"/>
        <v>0</v>
      </c>
      <c r="Y9" s="62">
        <f t="shared" si="6"/>
        <v>0</v>
      </c>
      <c r="Z9" s="62">
        <f t="shared" si="7"/>
        <v>0</v>
      </c>
      <c r="AB9" s="62">
        <f>COUNTIF(AO8:AO11,CONCATENATE("&gt;=",AO9))</f>
        <v>4</v>
      </c>
      <c r="AC9" s="63" t="str">
        <f>INDEX(T,38,lang)</f>
        <v>Croazia</v>
      </c>
      <c r="AD9" s="62">
        <f>COUNTIF($V$7:$W$54,"=" &amp; AC9 &amp; "_win")</f>
        <v>0</v>
      </c>
      <c r="AE9" s="62">
        <f>COUNTIF($V$7:$W$54,"=" &amp; AC9 &amp; "_draw")</f>
        <v>0</v>
      </c>
      <c r="AF9" s="62">
        <f>COUNTIF($V$7:$W$54,"=" &amp; AC9 &amp; "_lose")</f>
        <v>1</v>
      </c>
      <c r="AG9" s="62">
        <f>SUMIF($E$7:$E$54,$AC9,$F$7:$F$54) + SUMIF($H$7:$H$54,$AC9,$G$7:$G$54)</f>
        <v>1</v>
      </c>
      <c r="AH9" s="62">
        <f>SUMIF($E$7:$E$54,$AC9,$G$7:$G$54) + SUMIF($H$7:$H$54,$AC9,$F$7:$F$54)</f>
        <v>3</v>
      </c>
      <c r="AI9" s="62">
        <f>(AG9-AH9)+1</f>
        <v>-1</v>
      </c>
      <c r="AJ9" s="62">
        <f>AG9-AH9</f>
        <v>-2</v>
      </c>
      <c r="AK9" s="62">
        <f>(AJ9-AJ13)/AJ12</f>
        <v>0</v>
      </c>
      <c r="AL9" s="62">
        <f>AD9*3+AE9</f>
        <v>0</v>
      </c>
      <c r="AM9" s="62">
        <f>AQ9/AQ12*1000+AR9/AR12*100+AU9/AU12*10+AS9/AS12</f>
        <v>0</v>
      </c>
      <c r="AN9" s="62">
        <f>VLOOKUP(AC9,db_fifarank,2,FALSE)/2000000</f>
        <v>4.3550000000000001E-4</v>
      </c>
      <c r="AO9" s="63">
        <f>1000*AL9/AL12+100*AK9+10*AG9/AG12+1*AM9/AM12+AN9</f>
        <v>2.5004355</v>
      </c>
      <c r="AP9" s="64" t="str">
        <f>IF(SUM(AD8:AF11)=12,M10,INDEX(T,71,lang))</f>
        <v>2A</v>
      </c>
      <c r="AQ9" s="65">
        <f>SUMPRODUCT(($V$7:$V$54=AC9&amp;"_win")*($X$7:$X$54))+SUMPRODUCT(($W$7:$W$54=AC9&amp;"_win")*($X$7:$X$54))</f>
        <v>0</v>
      </c>
      <c r="AR9" s="66">
        <f>SUMPRODUCT(($V$7:$V$54=AC9&amp;"_draw")*($X$7:$X$54))+SUMPRODUCT(($W$7:$W$54=AC9&amp;"_draw")*($X$7:$X$54))</f>
        <v>0</v>
      </c>
      <c r="AS9" s="66">
        <f>SUMPRODUCT(($E$7:$E$54=AC9)*($X$7:$X$54)*($F$7:$F$54))+SUMPRODUCT(($H$7:$H$54=AC9)*($X$7:$X$54)*($G$7:$G$54))</f>
        <v>0</v>
      </c>
      <c r="AT9" s="66">
        <f>SUMPRODUCT(($E$7:$E$54=AC9)*($X$7:$X$54)*($G$7:$G$54))+SUMPRODUCT(($H$7:$H$54=AC9)*($X$7:$X$54)*($F$7:$F$54))</f>
        <v>0</v>
      </c>
      <c r="AU9" s="66">
        <f>AS9-AT9</f>
        <v>0</v>
      </c>
    </row>
    <row r="10" spans="1:47" x14ac:dyDescent="0.2">
      <c r="A10" s="75">
        <v>4</v>
      </c>
      <c r="B10" s="76" t="str">
        <f t="shared" si="0"/>
        <v>Ven</v>
      </c>
      <c r="C10" s="77" t="str">
        <f t="shared" si="1"/>
        <v>Giu 13, 2014</v>
      </c>
      <c r="D10" s="78">
        <f t="shared" si="3"/>
        <v>0.95833333333333337</v>
      </c>
      <c r="E10" s="79" t="str">
        <f>AC16</f>
        <v>Cile</v>
      </c>
      <c r="F10" s="133">
        <v>3</v>
      </c>
      <c r="G10" s="133">
        <v>1</v>
      </c>
      <c r="H10" s="86" t="str">
        <f>AC17</f>
        <v>Australia</v>
      </c>
      <c r="I10" s="138" t="str">
        <f>INDEX(T,106,lang)</f>
        <v>Curitiba</v>
      </c>
      <c r="J10" s="139"/>
      <c r="K10" s="140"/>
      <c r="M10" s="23" t="str">
        <f>VLOOKUP(2,AB8:AL11,2,FALSE)</f>
        <v>Messico</v>
      </c>
      <c r="N10" s="29">
        <f>O10+P10+Q10</f>
        <v>1</v>
      </c>
      <c r="O10" s="29">
        <f>VLOOKUP(2,AB8:AL11,3,FALSE)</f>
        <v>1</v>
      </c>
      <c r="P10" s="29">
        <f>VLOOKUP(2,AB8:AL11,4,FALSE)</f>
        <v>0</v>
      </c>
      <c r="Q10" s="29">
        <f>VLOOKUP(2,AB8:AL11,5,FALSE)</f>
        <v>0</v>
      </c>
      <c r="R10" s="29" t="str">
        <f>VLOOKUP(2,AB8:AL11,6,FALSE) &amp; " - " &amp; VLOOKUP(2,AB8:AL11,7,FALSE)</f>
        <v>1 - 0</v>
      </c>
      <c r="S10" s="30">
        <f>O10*3+P10</f>
        <v>3</v>
      </c>
      <c r="U10" s="62">
        <f>DATE(2014,6,13)+TIME(11,0,0)+gmt_delta</f>
        <v>41803.958333333336</v>
      </c>
      <c r="V10" s="68" t="str">
        <f t="shared" si="4"/>
        <v>Cile_win</v>
      </c>
      <c r="W10" s="68" t="str">
        <f t="shared" si="2"/>
        <v>Australia_lose</v>
      </c>
      <c r="X10" s="63">
        <f t="shared" si="5"/>
        <v>0</v>
      </c>
      <c r="Y10" s="62">
        <f t="shared" si="6"/>
        <v>0</v>
      </c>
      <c r="Z10" s="62">
        <f t="shared" si="7"/>
        <v>0</v>
      </c>
      <c r="AB10" s="62">
        <f>COUNTIF(AO8:AO11,CONCATENATE("&gt;=",AO10))</f>
        <v>2</v>
      </c>
      <c r="AC10" s="63" t="str">
        <f>INDEX(T,39,lang)</f>
        <v>Messico</v>
      </c>
      <c r="AD10" s="62">
        <f>COUNTIF($V$7:$W$54,"=" &amp; AC10 &amp; "_win")</f>
        <v>1</v>
      </c>
      <c r="AE10" s="62">
        <f>COUNTIF($V$7:$W$54,"=" &amp; AC10 &amp; "_draw")</f>
        <v>0</v>
      </c>
      <c r="AF10" s="62">
        <f>COUNTIF($V$7:$W$54,"=" &amp; AC10 &amp; "_lose")</f>
        <v>0</v>
      </c>
      <c r="AG10" s="62">
        <f>SUMIF($E$7:$E$54,$AC10,$F$7:$F$54) + SUMIF($H$7:$H$54,$AC10,$G$7:$G$54)</f>
        <v>1</v>
      </c>
      <c r="AH10" s="62">
        <f>SUMIF($E$7:$E$54,$AC10,$G$7:$G$54) + SUMIF($H$7:$H$54,$AC10,$F$7:$F$54)</f>
        <v>0</v>
      </c>
      <c r="AI10" s="62">
        <f>(AG10-AH10)+1</f>
        <v>2</v>
      </c>
      <c r="AJ10" s="62">
        <f>AG10-AH10</f>
        <v>1</v>
      </c>
      <c r="AK10" s="62">
        <f>(AJ10-AJ13)/AJ12</f>
        <v>0.6</v>
      </c>
      <c r="AL10" s="62">
        <f>AD10*3+AE10</f>
        <v>3</v>
      </c>
      <c r="AM10" s="62">
        <f>AQ10/AQ12*1000+AR10/AR12*100+AU10/AU12*10+AS10/AS12</f>
        <v>0</v>
      </c>
      <c r="AN10" s="62">
        <f>VLOOKUP(AC10,db_fifarank,2,FALSE)/2000000</f>
        <v>4.3800000000000002E-4</v>
      </c>
      <c r="AO10" s="63">
        <f>1000*AL10/AL12+100*AK10+10*AG10/AG12+1*AM10/AM12+AN10</f>
        <v>812.50043800000003</v>
      </c>
      <c r="AQ10" s="65">
        <f>SUMPRODUCT(($V$7:$V$54=AC10&amp;"_win")*($X$7:$X$54))+SUMPRODUCT(($W$7:$W$54=AC10&amp;"_win")*($X$7:$X$54))</f>
        <v>0</v>
      </c>
      <c r="AR10" s="66">
        <f>SUMPRODUCT(($V$7:$V$54=AC10&amp;"_draw")*($X$7:$X$54))+SUMPRODUCT(($W$7:$W$54=AC10&amp;"_draw")*($X$7:$X$54))</f>
        <v>0</v>
      </c>
      <c r="AS10" s="66">
        <f>SUMPRODUCT(($E$7:$E$54=AC10)*($X$7:$X$54)*($F$7:$F$54))+SUMPRODUCT(($H$7:$H$54=AC10)*($X$7:$X$54)*($G$7:$G$54))</f>
        <v>0</v>
      </c>
      <c r="AT10" s="66">
        <f>SUMPRODUCT(($E$7:$E$54=AC10)*($X$7:$X$54)*($G$7:$G$54))+SUMPRODUCT(($H$7:$H$54=AC10)*($X$7:$X$54)*($F$7:$F$54))</f>
        <v>0</v>
      </c>
      <c r="AU10" s="66">
        <f>AS10-AT10</f>
        <v>0</v>
      </c>
    </row>
    <row r="11" spans="1:47" x14ac:dyDescent="0.2">
      <c r="A11" s="75">
        <v>5</v>
      </c>
      <c r="B11" s="76" t="str">
        <f t="shared" si="0"/>
        <v>Sab</v>
      </c>
      <c r="C11" s="77" t="str">
        <f t="shared" si="1"/>
        <v>Giu 14, 2014</v>
      </c>
      <c r="D11" s="78">
        <f t="shared" si="3"/>
        <v>0.70833333333333337</v>
      </c>
      <c r="E11" s="79" t="str">
        <f>AC20</f>
        <v>Colombia</v>
      </c>
      <c r="F11" s="133">
        <v>3</v>
      </c>
      <c r="G11" s="133">
        <v>0</v>
      </c>
      <c r="H11" s="86" t="str">
        <f>AC21</f>
        <v>Grecia</v>
      </c>
      <c r="I11" s="138" t="str">
        <f>INDEX(T,103,lang)</f>
        <v>Belo Horizonte</v>
      </c>
      <c r="J11" s="139"/>
      <c r="K11" s="140"/>
      <c r="M11" s="23" t="str">
        <f>VLOOKUP(3,AB8:AL11,2,FALSE)</f>
        <v>Camerun</v>
      </c>
      <c r="N11" s="29">
        <f>O11+P11+Q11</f>
        <v>1</v>
      </c>
      <c r="O11" s="29">
        <f>VLOOKUP(3,AB8:AL11,3,FALSE)</f>
        <v>0</v>
      </c>
      <c r="P11" s="29">
        <f>VLOOKUP(3,AB8:AL11,4,FALSE)</f>
        <v>0</v>
      </c>
      <c r="Q11" s="29">
        <f>VLOOKUP(3,AB8:AL11,5,FALSE)</f>
        <v>1</v>
      </c>
      <c r="R11" s="29" t="str">
        <f>VLOOKUP(3,AB8:AL11,6,FALSE) &amp; " - " &amp; VLOOKUP(3,AB8:AL11,7,FALSE)</f>
        <v>0 - 1</v>
      </c>
      <c r="S11" s="30">
        <f>O11*3+P11</f>
        <v>0</v>
      </c>
      <c r="U11" s="62">
        <f>DATE(2014,6,14)+TIME(5,0,0)+gmt_delta</f>
        <v>41804.708333333336</v>
      </c>
      <c r="V11" s="68" t="str">
        <f t="shared" si="4"/>
        <v>Colombia_win</v>
      </c>
      <c r="W11" s="68" t="str">
        <f t="shared" si="2"/>
        <v>Grecia_lose</v>
      </c>
      <c r="X11" s="63">
        <f t="shared" si="5"/>
        <v>0</v>
      </c>
      <c r="Y11" s="62">
        <f t="shared" si="6"/>
        <v>0</v>
      </c>
      <c r="Z11" s="62">
        <f t="shared" si="7"/>
        <v>0</v>
      </c>
      <c r="AB11" s="62">
        <f>COUNTIF(AO8:AO11,CONCATENATE("&gt;=",AO11))</f>
        <v>3</v>
      </c>
      <c r="AC11" s="63" t="str">
        <f>INDEX(T,57,lang)</f>
        <v>Camerun</v>
      </c>
      <c r="AD11" s="62">
        <f>COUNTIF($V$7:$W$54,"=" &amp; AC11 &amp; "_win")</f>
        <v>0</v>
      </c>
      <c r="AE11" s="62">
        <f>COUNTIF($V$7:$W$54,"=" &amp; AC11 &amp; "_draw")</f>
        <v>0</v>
      </c>
      <c r="AF11" s="62">
        <f>COUNTIF($V$7:$W$54,"=" &amp; AC11 &amp; "_lose")</f>
        <v>1</v>
      </c>
      <c r="AG11" s="62">
        <f>SUMIF($E$7:$E$54,$AC11,$F$7:$F$54) + SUMIF($H$7:$H$54,$AC11,$G$7:$G$54)</f>
        <v>0</v>
      </c>
      <c r="AH11" s="62">
        <f>SUMIF($E$7:$E$54,$AC11,$G$7:$G$54) + SUMIF($H$7:$H$54,$AC11,$F$7:$F$54)</f>
        <v>1</v>
      </c>
      <c r="AI11" s="62">
        <f>(AG11-AH11)+1</f>
        <v>0</v>
      </c>
      <c r="AJ11" s="62">
        <f>AG11-AH11</f>
        <v>-1</v>
      </c>
      <c r="AK11" s="62">
        <f>(AJ11-AJ13)/AJ12</f>
        <v>0.2</v>
      </c>
      <c r="AL11" s="62">
        <f>AD11*3+AE11</f>
        <v>0</v>
      </c>
      <c r="AM11" s="62">
        <f>AQ11/AQ12*1000+AR11/AR12*100+AU11/AU12*10+AS11/AS12</f>
        <v>0</v>
      </c>
      <c r="AN11" s="62">
        <f>VLOOKUP(AC11,db_fifarank,2,FALSE)/2000000</f>
        <v>2.9149999999999998E-4</v>
      </c>
      <c r="AO11" s="63">
        <f>1000*AL11/AL12+100*AK11+10*AG11/AG12+1*AM11/AM12+AN11</f>
        <v>20.000291499999999</v>
      </c>
      <c r="AQ11" s="65">
        <f>SUMPRODUCT(($V$7:$V$54=AC11&amp;"_win")*($X$7:$X$54))+SUMPRODUCT(($W$7:$W$54=AC11&amp;"_win")*($X$7:$X$54))</f>
        <v>0</v>
      </c>
      <c r="AR11" s="66">
        <f>SUMPRODUCT(($V$7:$V$54=AC11&amp;"_draw")*($X$7:$X$54))+SUMPRODUCT(($W$7:$W$54=AC11&amp;"_draw")*($X$7:$X$54))</f>
        <v>0</v>
      </c>
      <c r="AS11" s="66">
        <f>SUMPRODUCT(($E$7:$E$54=AC11)*($X$7:$X$54)*($F$7:$F$54))+SUMPRODUCT(($H$7:$H$54=AC11)*($X$7:$X$54)*($G$7:$G$54))</f>
        <v>0</v>
      </c>
      <c r="AT11" s="66">
        <f>SUMPRODUCT(($E$7:$E$54=AC11)*($X$7:$X$54)*($G$7:$G$54))+SUMPRODUCT(($H$7:$H$54=AC11)*($X$7:$X$54)*($F$7:$F$54))</f>
        <v>0</v>
      </c>
      <c r="AU11" s="66">
        <f>AS11-AT11</f>
        <v>0</v>
      </c>
    </row>
    <row r="12" spans="1:47" x14ac:dyDescent="0.2">
      <c r="A12" s="75">
        <v>6</v>
      </c>
      <c r="B12" s="76" t="str">
        <f t="shared" si="0"/>
        <v>Dom</v>
      </c>
      <c r="C12" s="77" t="str">
        <f t="shared" si="1"/>
        <v>Giu 15, 2014</v>
      </c>
      <c r="D12" s="78">
        <f t="shared" si="3"/>
        <v>8.3333333333333329E-2</v>
      </c>
      <c r="E12" s="79" t="str">
        <f>AC22</f>
        <v>Costa d' Avorio</v>
      </c>
      <c r="F12" s="133">
        <v>2</v>
      </c>
      <c r="G12" s="133">
        <v>1</v>
      </c>
      <c r="H12" s="86" t="str">
        <f>AC23</f>
        <v>Giappone</v>
      </c>
      <c r="I12" s="138" t="str">
        <f>INDEX(T,111,lang)</f>
        <v>Recife</v>
      </c>
      <c r="J12" s="139"/>
      <c r="K12" s="140"/>
      <c r="M12" s="24" t="str">
        <f>VLOOKUP(4,AB8:AL11,2,FALSE)</f>
        <v>Croazia</v>
      </c>
      <c r="N12" s="31">
        <f>O12+P12+Q12</f>
        <v>1</v>
      </c>
      <c r="O12" s="31">
        <f>VLOOKUP(4,AB8:AL11,3,FALSE)</f>
        <v>0</v>
      </c>
      <c r="P12" s="31">
        <f>VLOOKUP(4,AB8:AL11,4,FALSE)</f>
        <v>0</v>
      </c>
      <c r="Q12" s="31">
        <f>VLOOKUP(4,AB8:AL11,5,FALSE)</f>
        <v>1</v>
      </c>
      <c r="R12" s="31" t="str">
        <f>VLOOKUP(4,AB8:AL11,6,FALSE) &amp; " - " &amp; VLOOKUP(4,AB8:AL11,7,FALSE)</f>
        <v>1 - 3</v>
      </c>
      <c r="S12" s="32">
        <f>O12*3+P12</f>
        <v>0</v>
      </c>
      <c r="U12" s="62">
        <f>DATE(2014,6,14)+TIME(14,0,0)+gmt_delta</f>
        <v>41805.083333333336</v>
      </c>
      <c r="V12" s="68" t="str">
        <f t="shared" si="4"/>
        <v>Costa d' Avorio_win</v>
      </c>
      <c r="W12" s="68" t="str">
        <f t="shared" si="2"/>
        <v>Giappone_lose</v>
      </c>
      <c r="X12" s="63">
        <f t="shared" si="5"/>
        <v>0</v>
      </c>
      <c r="Y12" s="62">
        <f t="shared" si="6"/>
        <v>0</v>
      </c>
      <c r="Z12" s="62">
        <f t="shared" si="7"/>
        <v>0</v>
      </c>
      <c r="AD12" s="62">
        <f t="shared" ref="AD12:AM12" si="8">MAX(AD8:AD11)-MIN(AD8:AD11)+1</f>
        <v>2</v>
      </c>
      <c r="AE12" s="62">
        <f t="shared" si="8"/>
        <v>1</v>
      </c>
      <c r="AF12" s="62">
        <f t="shared" si="8"/>
        <v>2</v>
      </c>
      <c r="AG12" s="62">
        <f t="shared" si="8"/>
        <v>4</v>
      </c>
      <c r="AH12" s="62">
        <f t="shared" si="8"/>
        <v>4</v>
      </c>
      <c r="AI12" s="62">
        <f>MAX(AI8:AI11)-AI13+1</f>
        <v>5</v>
      </c>
      <c r="AJ12" s="62">
        <f>MAX(AJ8:AJ11)-AJ13+1</f>
        <v>5</v>
      </c>
      <c r="AL12" s="62">
        <f t="shared" si="8"/>
        <v>4</v>
      </c>
      <c r="AM12" s="62">
        <f t="shared" si="8"/>
        <v>1</v>
      </c>
      <c r="AQ12" s="62">
        <f>MAX(AQ8:AQ11)-MIN(AQ8:AQ11)+1</f>
        <v>1</v>
      </c>
      <c r="AR12" s="62">
        <f>MAX(AR8:AR11)-MIN(AR8:AR11)+1</f>
        <v>1</v>
      </c>
      <c r="AS12" s="62">
        <f>MAX(AS8:AS11)-MIN(AS8:AS11)+1</f>
        <v>1</v>
      </c>
      <c r="AT12" s="62">
        <f>MAX(AT8:AT11)-MIN(AT8:AT11)+1</f>
        <v>1</v>
      </c>
      <c r="AU12" s="62">
        <f>MAX(AU8:AU11)-MIN(AU8:AU11)+1</f>
        <v>1</v>
      </c>
    </row>
    <row r="13" spans="1:47" x14ac:dyDescent="0.2">
      <c r="A13" s="75">
        <v>7</v>
      </c>
      <c r="B13" s="76" t="str">
        <f t="shared" si="0"/>
        <v>Sab</v>
      </c>
      <c r="C13" s="77" t="str">
        <f t="shared" si="1"/>
        <v>Giu 14, 2014</v>
      </c>
      <c r="D13" s="78">
        <f t="shared" si="3"/>
        <v>0.83333333333333337</v>
      </c>
      <c r="E13" s="79" t="str">
        <f>AC26</f>
        <v>Uruguay</v>
      </c>
      <c r="F13" s="133">
        <v>1</v>
      </c>
      <c r="G13" s="133">
        <v>3</v>
      </c>
      <c r="H13" s="86" t="str">
        <f>AC27</f>
        <v>Costarica</v>
      </c>
      <c r="I13" s="138" t="str">
        <f>INDEX(T,107,lang)</f>
        <v>Fortaleza</v>
      </c>
      <c r="J13" s="139"/>
      <c r="K13" s="140"/>
      <c r="M13" s="33"/>
      <c r="N13" s="34"/>
      <c r="O13" s="34"/>
      <c r="P13" s="34"/>
      <c r="Q13" s="34"/>
      <c r="R13" s="34"/>
      <c r="S13" s="34"/>
      <c r="U13" s="62">
        <f>DATE(2014,6,14)+TIME(8,0,0)+gmt_delta</f>
        <v>41804.833333333336</v>
      </c>
      <c r="V13" s="68" t="str">
        <f t="shared" si="4"/>
        <v>Uruguay_lose</v>
      </c>
      <c r="W13" s="68" t="str">
        <f t="shared" si="2"/>
        <v>Costarica_win</v>
      </c>
      <c r="X13" s="63">
        <f t="shared" si="5"/>
        <v>0</v>
      </c>
      <c r="Y13" s="62">
        <f t="shared" si="6"/>
        <v>0</v>
      </c>
      <c r="Z13" s="62">
        <f t="shared" si="7"/>
        <v>0</v>
      </c>
      <c r="AI13" s="62">
        <f>MIN(AI8:AI11)</f>
        <v>-1</v>
      </c>
      <c r="AJ13" s="62">
        <f>MIN(AJ8:AJ11)</f>
        <v>-2</v>
      </c>
    </row>
    <row r="14" spans="1:47" x14ac:dyDescent="0.2">
      <c r="A14" s="75">
        <v>8</v>
      </c>
      <c r="B14" s="76" t="str">
        <f t="shared" si="0"/>
        <v>Sab</v>
      </c>
      <c r="C14" s="77" t="str">
        <f t="shared" si="1"/>
        <v>Giu 14, 2014</v>
      </c>
      <c r="D14" s="78">
        <f t="shared" si="3"/>
        <v>0.95833333333333337</v>
      </c>
      <c r="E14" s="79" t="str">
        <f>AC28</f>
        <v>Inghilterra</v>
      </c>
      <c r="F14" s="133">
        <v>1</v>
      </c>
      <c r="G14" s="133">
        <v>2</v>
      </c>
      <c r="H14" s="86" t="str">
        <f>AC29</f>
        <v>Italia</v>
      </c>
      <c r="I14" s="138" t="str">
        <f>INDEX(T,108,lang)</f>
        <v>Manaus</v>
      </c>
      <c r="J14" s="139"/>
      <c r="K14" s="140"/>
      <c r="M14" s="52" t="str">
        <f>INDEX(T,9,lang) &amp; " " &amp; "B"</f>
        <v>Gruppo B</v>
      </c>
      <c r="N14" s="53" t="str">
        <f>INDEX(T,10,lang)</f>
        <v>G</v>
      </c>
      <c r="O14" s="53" t="str">
        <f>INDEX(T,11,lang)</f>
        <v>V</v>
      </c>
      <c r="P14" s="53" t="str">
        <f>INDEX(T,12,lang)</f>
        <v>P</v>
      </c>
      <c r="Q14" s="53" t="str">
        <f>INDEX(T,13,lang)</f>
        <v>S</v>
      </c>
      <c r="R14" s="53" t="str">
        <f>INDEX(T,14,lang)</f>
        <v>GF - GS</v>
      </c>
      <c r="S14" s="53" t="str">
        <f>INDEX(T,15,lang)</f>
        <v>Punti</v>
      </c>
      <c r="U14" s="62">
        <f>DATE(2014,6,14)+TIME(11,0,0)+gmt_delta</f>
        <v>41804.958333333336</v>
      </c>
      <c r="V14" s="68" t="str">
        <f t="shared" si="4"/>
        <v>Inghilterra_lose</v>
      </c>
      <c r="W14" s="68" t="str">
        <f t="shared" si="2"/>
        <v>Italia_win</v>
      </c>
      <c r="X14" s="63">
        <f t="shared" si="5"/>
        <v>0</v>
      </c>
      <c r="Y14" s="62">
        <f t="shared" si="6"/>
        <v>0</v>
      </c>
      <c r="Z14" s="62">
        <f t="shared" si="7"/>
        <v>0</v>
      </c>
      <c r="AB14" s="62">
        <f>COUNTIF(AO14:AO17,CONCATENATE("&gt;=",AO14))</f>
        <v>4</v>
      </c>
      <c r="AC14" s="63" t="str">
        <f>INDEX(T,66,lang)</f>
        <v>Spagna</v>
      </c>
      <c r="AD14" s="62">
        <f>COUNTIF($V$7:$W$54,"=" &amp; AC14 &amp; "_win")</f>
        <v>0</v>
      </c>
      <c r="AE14" s="62">
        <f>COUNTIF($V$7:$W$54,"=" &amp; AC14 &amp; "_draw")</f>
        <v>0</v>
      </c>
      <c r="AF14" s="62">
        <f>COUNTIF($V$7:$W$54,"=" &amp; AC14 &amp; "_lose")</f>
        <v>1</v>
      </c>
      <c r="AG14" s="62">
        <f>SUMIF($E$7:$E$54,$AC14,$F$7:$F$54) + SUMIF($H$7:$H$54,$AC14,$G$7:$G$54)</f>
        <v>1</v>
      </c>
      <c r="AH14" s="62">
        <f>SUMIF($E$7:$E$54,$AC14,$G$7:$G$54) + SUMIF($H$7:$H$54,$AC14,$F$7:$F$54)</f>
        <v>5</v>
      </c>
      <c r="AI14" s="62">
        <f>(AG14-AH14)*100+AL14*10000+AG14</f>
        <v>-399</v>
      </c>
      <c r="AJ14" s="62">
        <f>AG14-AH14</f>
        <v>-4</v>
      </c>
      <c r="AK14" s="62">
        <f>(AJ14-AJ19)/AJ18</f>
        <v>0</v>
      </c>
      <c r="AL14" s="62">
        <f>AD14*3+AE14</f>
        <v>0</v>
      </c>
      <c r="AM14" s="62">
        <f>AQ14/AQ18*1000+AR14/AR18*100+AU14/AU18*10+AS14/AS18</f>
        <v>0</v>
      </c>
      <c r="AN14" s="62">
        <f>VLOOKUP(AC14,db_fifarank,2,FALSE)/2000000</f>
        <v>7.2999999999999996E-4</v>
      </c>
      <c r="AO14" s="63">
        <f>1000*AL14/AL18+100*AK14+10*AG14/AG18+1*AM14/AM18+AN14</f>
        <v>2.0007299999999999</v>
      </c>
      <c r="AP14" s="64" t="str">
        <f>IF(SUM(AD14:AF17)=12,M15,INDEX(T,72,lang))</f>
        <v>1B</v>
      </c>
      <c r="AQ14" s="65">
        <f>SUMPRODUCT(($V$7:$V$54=AC14&amp;"_win")*($X$7:$X$54))+SUMPRODUCT(($W$7:$W$54=AC14&amp;"_win")*($X$7:$X$54))</f>
        <v>0</v>
      </c>
      <c r="AR14" s="66">
        <f>SUMPRODUCT(($V$7:$V$54=AC14&amp;"_draw")*($X$7:$X$54))+SUMPRODUCT(($W$7:$W$54=AC14&amp;"_draw")*($X$7:$X$54))</f>
        <v>0</v>
      </c>
      <c r="AS14" s="66">
        <f>SUMPRODUCT(($E$7:$E$54=AC14)*($X$7:$X$54)*($F$7:$F$54))+SUMPRODUCT(($H$7:$H$54=AC14)*($X$7:$X$54)*($G$7:$G$54))</f>
        <v>0</v>
      </c>
      <c r="AT14" s="66">
        <f>SUMPRODUCT(($E$7:$E$54=AC14)*($X$7:$X$54)*($G$7:$G$54))+SUMPRODUCT(($H$7:$H$54=AC14)*($X$7:$X$54)*($F$7:$F$54))</f>
        <v>0</v>
      </c>
      <c r="AU14" s="66">
        <f>AS14-AT14</f>
        <v>0</v>
      </c>
    </row>
    <row r="15" spans="1:47" x14ac:dyDescent="0.2">
      <c r="A15" s="75">
        <v>9</v>
      </c>
      <c r="B15" s="76" t="str">
        <f t="shared" si="0"/>
        <v>Dom</v>
      </c>
      <c r="C15" s="77" t="str">
        <f t="shared" si="1"/>
        <v>Giu 15, 2014</v>
      </c>
      <c r="D15" s="78">
        <f t="shared" si="3"/>
        <v>0.70833333333333337</v>
      </c>
      <c r="E15" s="79" t="str">
        <f>AC32</f>
        <v>Svizzera</v>
      </c>
      <c r="F15" s="133">
        <v>2</v>
      </c>
      <c r="G15" s="133">
        <v>1</v>
      </c>
      <c r="H15" s="86" t="str">
        <f>AC33</f>
        <v>Ecuador</v>
      </c>
      <c r="I15" s="138" t="str">
        <f>INDEX(T,104,lang)</f>
        <v>Brasilia</v>
      </c>
      <c r="J15" s="139"/>
      <c r="K15" s="140"/>
      <c r="M15" s="22" t="str">
        <f>VLOOKUP(1,AB14:AL17,2,FALSE)</f>
        <v>Paesi Bassi</v>
      </c>
      <c r="N15" s="27">
        <f>O15+P15+Q15</f>
        <v>1</v>
      </c>
      <c r="O15" s="27">
        <f>VLOOKUP(1,AB14:AL17,3,FALSE)</f>
        <v>1</v>
      </c>
      <c r="P15" s="27">
        <f>VLOOKUP(1,AB14:AL17,4,FALSE)</f>
        <v>0</v>
      </c>
      <c r="Q15" s="27">
        <f>VLOOKUP(1,AB14:AL17,5,FALSE)</f>
        <v>0</v>
      </c>
      <c r="R15" s="27" t="str">
        <f>VLOOKUP(1,AB14:AL17,6,FALSE) &amp; " - " &amp; VLOOKUP(1,AB14:AL17,7,FALSE)</f>
        <v>5 - 1</v>
      </c>
      <c r="S15" s="28">
        <f>O15*3+P15</f>
        <v>3</v>
      </c>
      <c r="U15" s="62">
        <f>DATE(2014,6,15)+TIME(5,0,0)+gmt_delta</f>
        <v>41805.708333333336</v>
      </c>
      <c r="V15" s="68" t="str">
        <f t="shared" si="4"/>
        <v>Svizzera_win</v>
      </c>
      <c r="W15" s="68" t="str">
        <f t="shared" si="2"/>
        <v>Ecuador_lose</v>
      </c>
      <c r="X15" s="63">
        <f t="shared" si="5"/>
        <v>0</v>
      </c>
      <c r="Y15" s="62">
        <f t="shared" si="6"/>
        <v>0</v>
      </c>
      <c r="Z15" s="62">
        <f t="shared" si="7"/>
        <v>0</v>
      </c>
      <c r="AB15" s="62">
        <f>COUNTIF(AO14:AO17,CONCATENATE("&gt;=",AO15))</f>
        <v>1</v>
      </c>
      <c r="AC15" s="63" t="str">
        <f>INDEX(T,54,lang)</f>
        <v>Paesi Bassi</v>
      </c>
      <c r="AD15" s="62">
        <f>COUNTIF($V$7:$W$54,"=" &amp; AC15 &amp; "_win")</f>
        <v>1</v>
      </c>
      <c r="AE15" s="62">
        <f>COUNTIF($V$7:$W$54,"=" &amp; AC15 &amp; "_draw")</f>
        <v>0</v>
      </c>
      <c r="AF15" s="62">
        <f>COUNTIF($V$7:$W$54,"=" &amp; AC15 &amp; "_lose")</f>
        <v>0</v>
      </c>
      <c r="AG15" s="62">
        <f>SUMIF($E$7:$E$54,$AC15,$F$7:$F$54) + SUMIF($H$7:$H$54,$AC15,$G$7:$G$54)</f>
        <v>5</v>
      </c>
      <c r="AH15" s="62">
        <f>SUMIF($E$7:$E$54,$AC15,$G$7:$G$54) + SUMIF($H$7:$H$54,$AC15,$F$7:$F$54)</f>
        <v>1</v>
      </c>
      <c r="AI15" s="62">
        <f>(AG15-AH15)*100+AL15*10000+AG15</f>
        <v>30405</v>
      </c>
      <c r="AJ15" s="62">
        <f>AG15-AH15</f>
        <v>4</v>
      </c>
      <c r="AK15" s="62">
        <f>(AJ15-AJ19)/AJ18</f>
        <v>0.88888888888888884</v>
      </c>
      <c r="AL15" s="62">
        <f>AD15*3+AE15</f>
        <v>3</v>
      </c>
      <c r="AM15" s="62">
        <f>AQ15/AQ18*1000+AR15/AR18*100+AU15/AU18*10+AS15/AS18</f>
        <v>0</v>
      </c>
      <c r="AN15" s="62">
        <f>VLOOKUP(AC15,db_fifarank,2,FALSE)/2000000</f>
        <v>4.8349999999999999E-4</v>
      </c>
      <c r="AO15" s="63">
        <f>1000*AL15/AL18+100*AK15+10*AG15/AG18+1*AM15/AM18+AN15</f>
        <v>848.88937238888889</v>
      </c>
      <c r="AP15" s="64" t="str">
        <f>IF(SUM(AD14:AF17)=12,M16,INDEX(T,73,lang))</f>
        <v>2B</v>
      </c>
      <c r="AQ15" s="65">
        <f>SUMPRODUCT(($V$7:$V$54=AC15&amp;"_win")*($X$7:$X$54))+SUMPRODUCT(($W$7:$W$54=AC15&amp;"_win")*($X$7:$X$54))</f>
        <v>0</v>
      </c>
      <c r="AR15" s="66">
        <f>SUMPRODUCT(($V$7:$V$54=AC15&amp;"_draw")*($X$7:$X$54))+SUMPRODUCT(($W$7:$W$54=AC15&amp;"_draw")*($X$7:$X$54))</f>
        <v>0</v>
      </c>
      <c r="AS15" s="66">
        <f>SUMPRODUCT(($E$7:$E$54=AC15)*($X$7:$X$54)*($F$7:$F$54))+SUMPRODUCT(($H$7:$H$54=AC15)*($X$7:$X$54)*($G$7:$G$54))</f>
        <v>0</v>
      </c>
      <c r="AT15" s="66">
        <f>SUMPRODUCT(($E$7:$E$54=AC15)*($X$7:$X$54)*($G$7:$G$54))+SUMPRODUCT(($H$7:$H$54=AC15)*($X$7:$X$54)*($F$7:$F$54))</f>
        <v>0</v>
      </c>
      <c r="AU15" s="66">
        <f>AS15-AT15</f>
        <v>0</v>
      </c>
    </row>
    <row r="16" spans="1:47" x14ac:dyDescent="0.2">
      <c r="A16" s="75">
        <v>10</v>
      </c>
      <c r="B16" s="76" t="str">
        <f t="shared" si="0"/>
        <v>Dom</v>
      </c>
      <c r="C16" s="77" t="str">
        <f t="shared" si="1"/>
        <v>Giu 15, 2014</v>
      </c>
      <c r="D16" s="78">
        <f t="shared" si="3"/>
        <v>0.83333333333333337</v>
      </c>
      <c r="E16" s="79" t="str">
        <f>AC34</f>
        <v>Francia</v>
      </c>
      <c r="F16" s="133">
        <v>3</v>
      </c>
      <c r="G16" s="133">
        <v>0</v>
      </c>
      <c r="H16" s="86" t="str">
        <f>AC35</f>
        <v>Honduras</v>
      </c>
      <c r="I16" s="138" t="str">
        <f>INDEX(T,110,lang)</f>
        <v>Porto Alegre</v>
      </c>
      <c r="J16" s="139"/>
      <c r="K16" s="140"/>
      <c r="M16" s="23" t="str">
        <f>VLOOKUP(2,AB14:AL17,2,FALSE)</f>
        <v>Cile</v>
      </c>
      <c r="N16" s="29">
        <f>O16+P16+Q16</f>
        <v>1</v>
      </c>
      <c r="O16" s="29">
        <f>VLOOKUP(2,AB14:AL17,3,FALSE)</f>
        <v>1</v>
      </c>
      <c r="P16" s="29">
        <f>VLOOKUP(2,AB14:AL17,4,FALSE)</f>
        <v>0</v>
      </c>
      <c r="Q16" s="29">
        <f>VLOOKUP(2,AB14:AL17,5,FALSE)</f>
        <v>0</v>
      </c>
      <c r="R16" s="29" t="str">
        <f>VLOOKUP(2,AB14:AL17,6,FALSE) &amp; " - " &amp; VLOOKUP(2,AB14:AL17,7,FALSE)</f>
        <v>3 - 1</v>
      </c>
      <c r="S16" s="30">
        <f>O16*3+P16</f>
        <v>3</v>
      </c>
      <c r="U16" s="62">
        <f>DATE(2014,6,15)+TIME(8,0,0)+gmt_delta</f>
        <v>41805.833333333336</v>
      </c>
      <c r="V16" s="68" t="str">
        <f t="shared" si="4"/>
        <v>Francia_win</v>
      </c>
      <c r="W16" s="68" t="str">
        <f t="shared" si="2"/>
        <v>Honduras_lose</v>
      </c>
      <c r="X16" s="63">
        <f t="shared" si="5"/>
        <v>0</v>
      </c>
      <c r="Y16" s="62">
        <f t="shared" si="6"/>
        <v>0</v>
      </c>
      <c r="Z16" s="62">
        <f t="shared" si="7"/>
        <v>0</v>
      </c>
      <c r="AB16" s="62">
        <f>COUNTIF(AO14:AO17,CONCATENATE("&gt;=",AO16))</f>
        <v>2</v>
      </c>
      <c r="AC16" s="63" t="str">
        <f>INDEX(T,69,lang)</f>
        <v>Cile</v>
      </c>
      <c r="AD16" s="62">
        <f>COUNTIF($V$7:$W$54,"=" &amp; AC16 &amp; "_win")</f>
        <v>1</v>
      </c>
      <c r="AE16" s="62">
        <f>COUNTIF($V$7:$W$54,"=" &amp; AC16 &amp; "_draw")</f>
        <v>0</v>
      </c>
      <c r="AF16" s="62">
        <f>COUNTIF($V$7:$W$54,"=" &amp; AC16 &amp; "_lose")</f>
        <v>0</v>
      </c>
      <c r="AG16" s="62">
        <f>SUMIF($E$7:$E$54,$AC16,$F$7:$F$54) + SUMIF($H$7:$H$54,$AC16,$G$7:$G$54)</f>
        <v>3</v>
      </c>
      <c r="AH16" s="62">
        <f>SUMIF($E$7:$E$54,$AC16,$G$7:$G$54) + SUMIF($H$7:$H$54,$AC16,$F$7:$F$54)</f>
        <v>1</v>
      </c>
      <c r="AI16" s="62">
        <f>(AG16-AH16)*100+AL16*10000+AG16</f>
        <v>30203</v>
      </c>
      <c r="AJ16" s="62">
        <f>AG16-AH16</f>
        <v>2</v>
      </c>
      <c r="AK16" s="62">
        <f>(AJ16-AJ19)/AJ18</f>
        <v>0.66666666666666663</v>
      </c>
      <c r="AL16" s="62">
        <f>AD16*3+AE16</f>
        <v>3</v>
      </c>
      <c r="AM16" s="62">
        <f>AQ16/AQ18*1000+AR16/AR18*100+AU16/AU18*10+AS16/AS18</f>
        <v>0</v>
      </c>
      <c r="AN16" s="62">
        <f>VLOOKUP(AC16,db_fifarank,2,FALSE)/2000000</f>
        <v>5.0549999999999998E-4</v>
      </c>
      <c r="AO16" s="63">
        <f>1000*AL16/AL18+100*AK16+10*AG16/AG18+1*AM16/AM18+AN16</f>
        <v>822.66717216666666</v>
      </c>
      <c r="AQ16" s="65">
        <f>SUMPRODUCT(($V$7:$V$54=AC16&amp;"_win")*($X$7:$X$54))+SUMPRODUCT(($W$7:$W$54=AC16&amp;"_win")*($X$7:$X$54))</f>
        <v>0</v>
      </c>
      <c r="AR16" s="66">
        <f>SUMPRODUCT(($V$7:$V$54=AC16&amp;"_draw")*($X$7:$X$54))+SUMPRODUCT(($W$7:$W$54=AC16&amp;"_draw")*($X$7:$X$54))</f>
        <v>0</v>
      </c>
      <c r="AS16" s="66">
        <f>SUMPRODUCT(($E$7:$E$54=AC16)*($X$7:$X$54)*($F$7:$F$54))+SUMPRODUCT(($H$7:$H$54=AC16)*($X$7:$X$54)*($G$7:$G$54))</f>
        <v>0</v>
      </c>
      <c r="AT16" s="66">
        <f>SUMPRODUCT(($E$7:$E$54=AC16)*($X$7:$X$54)*($G$7:$G$54))+SUMPRODUCT(($H$7:$H$54=AC16)*($X$7:$X$54)*($F$7:$F$54))</f>
        <v>0</v>
      </c>
      <c r="AU16" s="66">
        <f>AS16-AT16</f>
        <v>0</v>
      </c>
    </row>
    <row r="17" spans="1:47" x14ac:dyDescent="0.2">
      <c r="A17" s="75">
        <v>11</v>
      </c>
      <c r="B17" s="76" t="str">
        <f t="shared" si="0"/>
        <v>Dom</v>
      </c>
      <c r="C17" s="77" t="str">
        <f t="shared" si="1"/>
        <v>Giu 15, 2014</v>
      </c>
      <c r="D17" s="78">
        <f t="shared" si="3"/>
        <v>0.95833333333333337</v>
      </c>
      <c r="E17" s="79" t="str">
        <f>AC38</f>
        <v>Argentina</v>
      </c>
      <c r="F17" s="133">
        <v>2</v>
      </c>
      <c r="G17" s="133">
        <v>1</v>
      </c>
      <c r="H17" s="86" t="str">
        <f>AC39</f>
        <v>Bosnia - Erzegovina</v>
      </c>
      <c r="I17" s="138" t="str">
        <f>INDEX(T,112,lang)</f>
        <v>Rio De Janeiro</v>
      </c>
      <c r="J17" s="139"/>
      <c r="K17" s="140"/>
      <c r="M17" s="23" t="str">
        <f>VLOOKUP(3,AB14:AL17,2,FALSE)</f>
        <v>Australia</v>
      </c>
      <c r="N17" s="29">
        <f>O17+P17+Q17</f>
        <v>1</v>
      </c>
      <c r="O17" s="29">
        <f>VLOOKUP(3,AB14:AL17,3,FALSE)</f>
        <v>0</v>
      </c>
      <c r="P17" s="29">
        <f>VLOOKUP(3,AB14:AL17,4,FALSE)</f>
        <v>0</v>
      </c>
      <c r="Q17" s="29">
        <f>VLOOKUP(3,AB14:AL17,5,FALSE)</f>
        <v>1</v>
      </c>
      <c r="R17" s="29" t="str">
        <f>VLOOKUP(3,AB14:AL17,6,FALSE) &amp; " - " &amp; VLOOKUP(3,AB14:AL17,7,FALSE)</f>
        <v>1 - 3</v>
      </c>
      <c r="S17" s="30">
        <f>O17*3+P17</f>
        <v>0</v>
      </c>
      <c r="U17" s="62">
        <f>DATE(2014,6,15)+TIME(11,0,0)+gmt_delta</f>
        <v>41805.958333333336</v>
      </c>
      <c r="V17" s="68" t="str">
        <f t="shared" si="4"/>
        <v>Argentina_win</v>
      </c>
      <c r="W17" s="68" t="str">
        <f t="shared" si="2"/>
        <v>Bosnia - Erzegovina_lose</v>
      </c>
      <c r="X17" s="63">
        <f t="shared" si="5"/>
        <v>0</v>
      </c>
      <c r="Y17" s="62">
        <f t="shared" si="6"/>
        <v>0</v>
      </c>
      <c r="Z17" s="62">
        <f t="shared" si="7"/>
        <v>0</v>
      </c>
      <c r="AB17" s="62">
        <f>COUNTIF(AO14:AO17,CONCATENATE("&gt;=",AO17))</f>
        <v>3</v>
      </c>
      <c r="AC17" s="63" t="str">
        <f>INDEX(T,51,lang)</f>
        <v>Australia</v>
      </c>
      <c r="AD17" s="62">
        <f>COUNTIF($V$7:$W$54,"=" &amp; AC17 &amp; "_win")</f>
        <v>0</v>
      </c>
      <c r="AE17" s="62">
        <f>COUNTIF($V$7:$W$54,"=" &amp; AC17 &amp; "_draw")</f>
        <v>0</v>
      </c>
      <c r="AF17" s="62">
        <f>COUNTIF($V$7:$W$54,"=" &amp; AC17 &amp; "_lose")</f>
        <v>1</v>
      </c>
      <c r="AG17" s="62">
        <f>SUMIF($E$7:$E$54,$AC17,$F$7:$F$54) + SUMIF($H$7:$H$54,$AC17,$G$7:$G$54)</f>
        <v>1</v>
      </c>
      <c r="AH17" s="62">
        <f>SUMIF($E$7:$E$54,$AC17,$G$7:$G$54) + SUMIF($H$7:$H$54,$AC17,$F$7:$F$54)</f>
        <v>3</v>
      </c>
      <c r="AI17" s="62">
        <f>(AG17-AH17)*100+AL17*10000+AG17</f>
        <v>-199</v>
      </c>
      <c r="AJ17" s="62">
        <f>AG17-AH17</f>
        <v>-2</v>
      </c>
      <c r="AK17" s="62">
        <f>(AJ17-AJ19)/AJ18</f>
        <v>0.22222222222222221</v>
      </c>
      <c r="AL17" s="62">
        <f>AD17*3+AE17</f>
        <v>0</v>
      </c>
      <c r="AM17" s="62">
        <f>AQ17/AQ18*1000+AR17/AR18*100+AU17/AU18*10+AS17/AS18</f>
        <v>0</v>
      </c>
      <c r="AN17" s="62">
        <f>VLOOKUP(AC17,db_fifarank,2,FALSE)/2000000</f>
        <v>2.7250000000000001E-4</v>
      </c>
      <c r="AO17" s="63">
        <f>1000*AL17/AL18+100*AK17+10*AG17/AG18+1*AM17/AM18+AN17</f>
        <v>24.222494722222223</v>
      </c>
      <c r="AQ17" s="65">
        <f>SUMPRODUCT(($V$7:$V$54=AC17&amp;"_win")*($X$7:$X$54))+SUMPRODUCT(($W$7:$W$54=AC17&amp;"_win")*($X$7:$X$54))</f>
        <v>0</v>
      </c>
      <c r="AR17" s="66">
        <f>SUMPRODUCT(($V$7:$V$54=AC17&amp;"_draw")*($X$7:$X$54))+SUMPRODUCT(($W$7:$W$54=AC17&amp;"_draw")*($X$7:$X$54))</f>
        <v>0</v>
      </c>
      <c r="AS17" s="66">
        <f>SUMPRODUCT(($E$7:$E$54=AC17)*($X$7:$X$54)*($F$7:$F$54))+SUMPRODUCT(($H$7:$H$54=AC17)*($X$7:$X$54)*($G$7:$G$54))</f>
        <v>0</v>
      </c>
      <c r="AT17" s="66">
        <f>SUMPRODUCT(($E$7:$E$54=AC17)*($X$7:$X$54)*($G$7:$G$54))+SUMPRODUCT(($H$7:$H$54=AC17)*($X$7:$X$54)*($F$7:$F$54))</f>
        <v>0</v>
      </c>
      <c r="AU17" s="66">
        <f>AS17-AT17</f>
        <v>0</v>
      </c>
    </row>
    <row r="18" spans="1:47" x14ac:dyDescent="0.2">
      <c r="A18" s="75">
        <v>12</v>
      </c>
      <c r="B18" s="76" t="str">
        <f t="shared" si="0"/>
        <v>Lun</v>
      </c>
      <c r="C18" s="77" t="str">
        <f t="shared" si="1"/>
        <v>Giu 16, 2014</v>
      </c>
      <c r="D18" s="78">
        <f t="shared" si="3"/>
        <v>0.70833333333333337</v>
      </c>
      <c r="E18" s="79" t="str">
        <f>AC44</f>
        <v>Germania</v>
      </c>
      <c r="F18" s="133">
        <v>4</v>
      </c>
      <c r="G18" s="133">
        <v>0</v>
      </c>
      <c r="H18" s="86" t="str">
        <f>AC45</f>
        <v>Portogallo</v>
      </c>
      <c r="I18" s="138" t="str">
        <f>INDEX(T,113,lang)</f>
        <v>Salvador</v>
      </c>
      <c r="J18" s="139"/>
      <c r="K18" s="140"/>
      <c r="M18" s="24" t="str">
        <f>VLOOKUP(4,AB14:AL17,2,FALSE)</f>
        <v>Spagna</v>
      </c>
      <c r="N18" s="31">
        <f>O18+P18+Q18</f>
        <v>1</v>
      </c>
      <c r="O18" s="31">
        <f>VLOOKUP(4,AB14:AL17,3,FALSE)</f>
        <v>0</v>
      </c>
      <c r="P18" s="31">
        <f>VLOOKUP(4,AB14:AL17,4,FALSE)</f>
        <v>0</v>
      </c>
      <c r="Q18" s="31">
        <f>VLOOKUP(4,AB14:AL17,5,FALSE)</f>
        <v>1</v>
      </c>
      <c r="R18" s="31" t="str">
        <f>VLOOKUP(4,AB14:AL17,6,FALSE) &amp; " - " &amp; VLOOKUP(4,AB14:AL17,7,FALSE)</f>
        <v>1 - 5</v>
      </c>
      <c r="S18" s="32">
        <f>O18*3+P18</f>
        <v>0</v>
      </c>
      <c r="U18" s="62">
        <f>DATE(2014,6,16)+TIME(5,0,0)+gmt_delta</f>
        <v>41806.708333333336</v>
      </c>
      <c r="V18" s="68" t="str">
        <f t="shared" si="4"/>
        <v>Germania_win</v>
      </c>
      <c r="W18" s="68" t="str">
        <f t="shared" si="2"/>
        <v>Portogallo_lose</v>
      </c>
      <c r="X18" s="63">
        <f t="shared" si="5"/>
        <v>0</v>
      </c>
      <c r="Y18" s="62">
        <f t="shared" si="6"/>
        <v>0</v>
      </c>
      <c r="Z18" s="62">
        <f t="shared" si="7"/>
        <v>0</v>
      </c>
      <c r="AD18" s="62">
        <f t="shared" ref="AD18:AM18" si="9">MAX(AD14:AD17)-MIN(AD14:AD17)+1</f>
        <v>2</v>
      </c>
      <c r="AE18" s="62">
        <f t="shared" si="9"/>
        <v>1</v>
      </c>
      <c r="AF18" s="62">
        <f t="shared" si="9"/>
        <v>2</v>
      </c>
      <c r="AG18" s="62">
        <f t="shared" si="9"/>
        <v>5</v>
      </c>
      <c r="AH18" s="62">
        <f t="shared" si="9"/>
        <v>5</v>
      </c>
      <c r="AI18" s="62">
        <f>MAX(AI14:AI17)-AI19+1</f>
        <v>30805</v>
      </c>
      <c r="AJ18" s="62">
        <f>MAX(AJ14:AJ17)-AJ19+1</f>
        <v>9</v>
      </c>
      <c r="AL18" s="62">
        <f t="shared" si="9"/>
        <v>4</v>
      </c>
      <c r="AM18" s="62">
        <f t="shared" si="9"/>
        <v>1</v>
      </c>
      <c r="AQ18" s="62">
        <f>MAX(AQ14:AQ17)-MIN(AQ14:AQ17)+1</f>
        <v>1</v>
      </c>
      <c r="AR18" s="62">
        <f>MAX(AR14:AR17)-MIN(AR14:AR17)+1</f>
        <v>1</v>
      </c>
      <c r="AS18" s="62">
        <f>MAX(AS14:AS17)-MIN(AS14:AS17)+1</f>
        <v>1</v>
      </c>
      <c r="AT18" s="62">
        <f>MAX(AT14:AT17)-MIN(AT14:AT17)+1</f>
        <v>1</v>
      </c>
      <c r="AU18" s="62">
        <f>MAX(AU14:AU17)-MIN(AU14:AU17)+1</f>
        <v>1</v>
      </c>
    </row>
    <row r="19" spans="1:47" x14ac:dyDescent="0.2">
      <c r="A19" s="75">
        <v>13</v>
      </c>
      <c r="B19" s="76" t="str">
        <f t="shared" si="0"/>
        <v>Lun</v>
      </c>
      <c r="C19" s="77" t="str">
        <f t="shared" si="1"/>
        <v>Giu 16, 2014</v>
      </c>
      <c r="D19" s="78">
        <f t="shared" si="3"/>
        <v>0.83333333333333337</v>
      </c>
      <c r="E19" s="79" t="str">
        <f>AC40</f>
        <v>Iran</v>
      </c>
      <c r="F19" s="133">
        <v>0</v>
      </c>
      <c r="G19" s="133">
        <v>0</v>
      </c>
      <c r="H19" s="86" t="str">
        <f>AC41</f>
        <v>Nigeria</v>
      </c>
      <c r="I19" s="138" t="str">
        <f>INDEX(T,106,lang)</f>
        <v>Curitiba</v>
      </c>
      <c r="J19" s="139"/>
      <c r="K19" s="140"/>
      <c r="M19" s="33"/>
      <c r="N19" s="34"/>
      <c r="O19" s="34"/>
      <c r="P19" s="34"/>
      <c r="Q19" s="34"/>
      <c r="R19" s="34"/>
      <c r="S19" s="34"/>
      <c r="U19" s="62">
        <f>DATE(2014,6,16)+TIME(8,0,0)+gmt_delta</f>
        <v>41806.833333333336</v>
      </c>
      <c r="V19" s="68" t="str">
        <f t="shared" si="4"/>
        <v>Iran_draw</v>
      </c>
      <c r="W19" s="68" t="str">
        <f t="shared" si="2"/>
        <v>Nigeria_draw</v>
      </c>
      <c r="X19" s="63">
        <f t="shared" si="5"/>
        <v>1</v>
      </c>
      <c r="Y19" s="62">
        <f t="shared" si="6"/>
        <v>0</v>
      </c>
      <c r="Z19" s="62">
        <f t="shared" si="7"/>
        <v>0</v>
      </c>
      <c r="AI19" s="62">
        <f>MIN(AI14:AI17)</f>
        <v>-399</v>
      </c>
      <c r="AJ19" s="62">
        <f>MIN(AJ14:AJ17)</f>
        <v>-4</v>
      </c>
    </row>
    <row r="20" spans="1:47" x14ac:dyDescent="0.2">
      <c r="A20" s="75">
        <v>14</v>
      </c>
      <c r="B20" s="76" t="str">
        <f t="shared" si="0"/>
        <v>Lun</v>
      </c>
      <c r="C20" s="77" t="str">
        <f t="shared" si="1"/>
        <v>Giu 16, 2014</v>
      </c>
      <c r="D20" s="78">
        <f t="shared" si="3"/>
        <v>0.95833333333333337</v>
      </c>
      <c r="E20" s="79" t="str">
        <f>AC46</f>
        <v>Ghana</v>
      </c>
      <c r="F20" s="133">
        <v>1</v>
      </c>
      <c r="G20" s="133">
        <v>2</v>
      </c>
      <c r="H20" s="86" t="str">
        <f>AC47</f>
        <v>Stati Uniti d'America</v>
      </c>
      <c r="I20" s="138" t="str">
        <f>INDEX(T,109,lang)</f>
        <v>natale</v>
      </c>
      <c r="J20" s="139"/>
      <c r="K20" s="140"/>
      <c r="M20" s="52" t="str">
        <f>INDEX(T,9,lang) &amp; " " &amp; "C"</f>
        <v>Gruppo C</v>
      </c>
      <c r="N20" s="53" t="str">
        <f>INDEX(T,10,lang)</f>
        <v>G</v>
      </c>
      <c r="O20" s="53" t="str">
        <f>INDEX(T,11,lang)</f>
        <v>V</v>
      </c>
      <c r="P20" s="53" t="str">
        <f>INDEX(T,12,lang)</f>
        <v>P</v>
      </c>
      <c r="Q20" s="53" t="str">
        <f>INDEX(T,13,lang)</f>
        <v>S</v>
      </c>
      <c r="R20" s="53" t="str">
        <f>INDEX(T,14,lang)</f>
        <v>GF - GS</v>
      </c>
      <c r="S20" s="53" t="str">
        <f>INDEX(T,15,lang)</f>
        <v>Punti</v>
      </c>
      <c r="U20" s="62">
        <f>DATE(2014,6,16)+TIME(11,0,0)+gmt_delta</f>
        <v>41806.958333333336</v>
      </c>
      <c r="V20" s="68" t="str">
        <f t="shared" si="4"/>
        <v>Ghana_lose</v>
      </c>
      <c r="W20" s="68" t="str">
        <f t="shared" si="2"/>
        <v>Stati Uniti d'America_win</v>
      </c>
      <c r="X20" s="63">
        <f t="shared" si="5"/>
        <v>0</v>
      </c>
      <c r="Y20" s="62">
        <f t="shared" si="6"/>
        <v>0</v>
      </c>
      <c r="Z20" s="62">
        <f t="shared" si="7"/>
        <v>0</v>
      </c>
      <c r="AB20" s="62">
        <f>COUNTIF(AO20:AO23,CONCATENATE("&gt;=",AO20))</f>
        <v>1</v>
      </c>
      <c r="AC20" s="63" t="str">
        <f>INDEX(T,52,lang)</f>
        <v>Colombia</v>
      </c>
      <c r="AD20" s="62">
        <f>COUNTIF($V$7:$W$54,"=" &amp; AC20 &amp; "_win")</f>
        <v>1</v>
      </c>
      <c r="AE20" s="62">
        <f>COUNTIF($V$7:$W$54,"=" &amp; AC20 &amp; "_draw")</f>
        <v>0</v>
      </c>
      <c r="AF20" s="62">
        <f>COUNTIF($V$7:$W$54,"=" &amp; AC20 &amp; "_lose")</f>
        <v>0</v>
      </c>
      <c r="AG20" s="62">
        <f>SUMIF($E$7:$E$54,$AC20,$F$7:$F$54) + SUMIF($H$7:$H$54,$AC20,$G$7:$G$54)</f>
        <v>3</v>
      </c>
      <c r="AH20" s="62">
        <f>SUMIF($E$7:$E$54,$AC20,$G$7:$G$54) + SUMIF($H$7:$H$54,$AC20,$F$7:$F$54)</f>
        <v>0</v>
      </c>
      <c r="AI20" s="62">
        <f>(AG20-AH20)*100+AL20*10000+AG20</f>
        <v>30303</v>
      </c>
      <c r="AJ20" s="62">
        <f>AG20-AH20</f>
        <v>3</v>
      </c>
      <c r="AK20" s="62">
        <f>(AJ20-AJ25)/AJ24</f>
        <v>0.8571428571428571</v>
      </c>
      <c r="AL20" s="62">
        <f>AD20*3+AE20</f>
        <v>3</v>
      </c>
      <c r="AM20" s="62">
        <f>AQ20/AQ24*1000+AR20/AR24*100+AU20/AU24*10+AS20/AS24</f>
        <v>0</v>
      </c>
      <c r="AN20" s="62">
        <f>VLOOKUP(AC20,db_fifarank,2,FALSE)/2000000</f>
        <v>5.9299999999999999E-4</v>
      </c>
      <c r="AO20" s="63">
        <f>1000*AL20/AL24+100*AK20+10*AG20/AG24+1*AM20/AM24+AN20</f>
        <v>843.21487871428565</v>
      </c>
      <c r="AP20" s="64" t="str">
        <f>IF(SUM(AD20:AF23)=12,M21,INDEX(T,74,lang))</f>
        <v>1C</v>
      </c>
      <c r="AQ20" s="65">
        <f>SUMPRODUCT(($V$7:$V$54=AC20&amp;"_win")*($X$7:$X$54))+SUMPRODUCT(($W$7:$W$54=AC20&amp;"_win")*($X$7:$X$54))</f>
        <v>0</v>
      </c>
      <c r="AR20" s="66">
        <f>SUMPRODUCT(($V$7:$V$54=AC20&amp;"_draw")*($X$7:$X$54))+SUMPRODUCT(($W$7:$W$54=AC20&amp;"_draw")*($X$7:$X$54))</f>
        <v>0</v>
      </c>
      <c r="AS20" s="66">
        <f>SUMPRODUCT(($E$7:$E$54=AC20)*($X$7:$X$54)*($F$7:$F$54))+SUMPRODUCT(($H$7:$H$54=AC20)*($X$7:$X$54)*($G$7:$G$54))</f>
        <v>0</v>
      </c>
      <c r="AT20" s="66">
        <f>SUMPRODUCT(($E$7:$E$54=AC20)*($X$7:$X$54)*($G$7:$G$54))+SUMPRODUCT(($H$7:$H$54=AC20)*($X$7:$X$54)*($F$7:$F$54))</f>
        <v>0</v>
      </c>
      <c r="AU20" s="66">
        <f>AS20-AT20</f>
        <v>0</v>
      </c>
    </row>
    <row r="21" spans="1:47" x14ac:dyDescent="0.2">
      <c r="A21" s="75">
        <v>15</v>
      </c>
      <c r="B21" s="76" t="str">
        <f t="shared" si="0"/>
        <v>Mar</v>
      </c>
      <c r="C21" s="77" t="str">
        <f t="shared" si="1"/>
        <v>Giu 17, 2014</v>
      </c>
      <c r="D21" s="78">
        <f t="shared" si="3"/>
        <v>0.70833333333333337</v>
      </c>
      <c r="E21" s="79" t="str">
        <f>AC50</f>
        <v>Belgio</v>
      </c>
      <c r="F21" s="133"/>
      <c r="G21" s="133"/>
      <c r="H21" s="86" t="str">
        <f>AC51</f>
        <v>Algeria</v>
      </c>
      <c r="I21" s="138" t="str">
        <f>INDEX(T,103,lang)</f>
        <v>Belo Horizonte</v>
      </c>
      <c r="J21" s="139"/>
      <c r="K21" s="140"/>
      <c r="M21" s="22" t="str">
        <f>VLOOKUP(1,AB20:AL23,2,FALSE)</f>
        <v>Colombia</v>
      </c>
      <c r="N21" s="27">
        <f>O21+P21+Q21</f>
        <v>1</v>
      </c>
      <c r="O21" s="27">
        <f>VLOOKUP(1,AB20:AL23,3,FALSE)</f>
        <v>1</v>
      </c>
      <c r="P21" s="27">
        <f>VLOOKUP(1,AB20:AL23,4,FALSE)</f>
        <v>0</v>
      </c>
      <c r="Q21" s="27">
        <f>VLOOKUP(1,AB20:AL23,5,FALSE)</f>
        <v>0</v>
      </c>
      <c r="R21" s="27" t="str">
        <f>VLOOKUP(1,AB20:AL23,6,FALSE) &amp; " - " &amp; VLOOKUP(1,AB20:AL23,7,FALSE)</f>
        <v>3 - 0</v>
      </c>
      <c r="S21" s="28">
        <f>O21*3+P21</f>
        <v>3</v>
      </c>
      <c r="U21" s="62">
        <f>DATE(2014,6,17)+TIME(5,0,0)+gmt_delta</f>
        <v>41807.708333333336</v>
      </c>
      <c r="V21" s="68" t="str">
        <f t="shared" si="4"/>
        <v/>
      </c>
      <c r="W21" s="68" t="str">
        <f t="shared" si="2"/>
        <v/>
      </c>
      <c r="X21" s="63">
        <f t="shared" si="5"/>
        <v>0</v>
      </c>
      <c r="Y21" s="62">
        <f t="shared" si="6"/>
        <v>0</v>
      </c>
      <c r="Z21" s="62">
        <f t="shared" si="7"/>
        <v>0</v>
      </c>
      <c r="AB21" s="62">
        <f>COUNTIF(AO20:AO23,CONCATENATE("&gt;=",AO21))</f>
        <v>4</v>
      </c>
      <c r="AC21" s="63" t="str">
        <f>INDEX(T,45,lang)</f>
        <v>Grecia</v>
      </c>
      <c r="AD21" s="62">
        <f>COUNTIF($V$7:$W$54,"=" &amp; AC21 &amp; "_win")</f>
        <v>0</v>
      </c>
      <c r="AE21" s="62">
        <f>COUNTIF($V$7:$W$54,"=" &amp; AC21 &amp; "_draw")</f>
        <v>0</v>
      </c>
      <c r="AF21" s="62">
        <f>COUNTIF($V$7:$W$54,"=" &amp; AC21 &amp; "_lose")</f>
        <v>1</v>
      </c>
      <c r="AG21" s="62">
        <f>SUMIF($E$7:$E$54,$AC21,$F$7:$F$54) + SUMIF($H$7:$H$54,$AC21,$G$7:$G$54)</f>
        <v>0</v>
      </c>
      <c r="AH21" s="62">
        <f>SUMIF($E$7:$E$54,$AC21,$G$7:$G$54) + SUMIF($H$7:$H$54,$AC21,$F$7:$F$54)</f>
        <v>3</v>
      </c>
      <c r="AI21" s="62">
        <f>(AG21-AH21)*100+AL21*10000+AG21</f>
        <v>-300</v>
      </c>
      <c r="AJ21" s="62">
        <f>AG21-AH21</f>
        <v>-3</v>
      </c>
      <c r="AK21" s="62">
        <f>(AJ21-AJ25)/AJ24</f>
        <v>0</v>
      </c>
      <c r="AL21" s="62">
        <f>AD21*3+AE21</f>
        <v>0</v>
      </c>
      <c r="AM21" s="62">
        <f>AQ21/AQ24*1000+AR21/AR24*100+AU21/AU24*10+AS21/AS24</f>
        <v>0</v>
      </c>
      <c r="AN21" s="62">
        <f>VLOOKUP(AC21,db_fifarank,2,FALSE)/2000000</f>
        <v>5.4100000000000003E-4</v>
      </c>
      <c r="AO21" s="63">
        <f>1000*AL21/AL24+100*AK21+10*AG21/AG24+1*AM21/AM24+AN21</f>
        <v>5.4100000000000003E-4</v>
      </c>
      <c r="AP21" s="64" t="str">
        <f>IF(SUM(AD20:AF23)=12,M22,INDEX(T,75,lang))</f>
        <v>2C</v>
      </c>
      <c r="AQ21" s="65">
        <f>SUMPRODUCT(($V$7:$V$54=AC21&amp;"_win")*($X$7:$X$54))+SUMPRODUCT(($W$7:$W$54=AC21&amp;"_win")*($X$7:$X$54))</f>
        <v>0</v>
      </c>
      <c r="AR21" s="66">
        <f>SUMPRODUCT(($V$7:$V$54=AC21&amp;"_draw")*($X$7:$X$54))+SUMPRODUCT(($W$7:$W$54=AC21&amp;"_draw")*($X$7:$X$54))</f>
        <v>0</v>
      </c>
      <c r="AS21" s="66">
        <f>SUMPRODUCT(($E$7:$E$54=AC21)*($X$7:$X$54)*($F$7:$F$54))+SUMPRODUCT(($H$7:$H$54=AC21)*($X$7:$X$54)*($G$7:$G$54))</f>
        <v>0</v>
      </c>
      <c r="AT21" s="66">
        <f>SUMPRODUCT(($E$7:$E$54=AC21)*($X$7:$X$54)*($G$7:$G$54))+SUMPRODUCT(($H$7:$H$54=AC21)*($X$7:$X$54)*($F$7:$F$54))</f>
        <v>0</v>
      </c>
      <c r="AU21" s="66">
        <f>AS21-AT21</f>
        <v>0</v>
      </c>
    </row>
    <row r="22" spans="1:47" x14ac:dyDescent="0.2">
      <c r="A22" s="75">
        <v>16</v>
      </c>
      <c r="B22" s="76" t="str">
        <f t="shared" si="0"/>
        <v>Mar</v>
      </c>
      <c r="C22" s="77" t="str">
        <f t="shared" si="1"/>
        <v>Giu 17, 2014</v>
      </c>
      <c r="D22" s="78">
        <f t="shared" si="3"/>
        <v>0.83333333333333337</v>
      </c>
      <c r="E22" s="79" t="str">
        <f>AC8</f>
        <v>Brasile</v>
      </c>
      <c r="F22" s="133"/>
      <c r="G22" s="133"/>
      <c r="H22" s="86" t="str">
        <f>AC10</f>
        <v>Messico</v>
      </c>
      <c r="I22" s="138" t="str">
        <f>INDEX(T,107,lang)</f>
        <v>Fortaleza</v>
      </c>
      <c r="J22" s="139"/>
      <c r="K22" s="140"/>
      <c r="M22" s="23" t="str">
        <f>VLOOKUP(2,AB20:AL23,2,FALSE)</f>
        <v>Costa d' Avorio</v>
      </c>
      <c r="N22" s="29">
        <f>O22+P22+Q22</f>
        <v>1</v>
      </c>
      <c r="O22" s="29">
        <f>VLOOKUP(2,AB20:AL23,3,FALSE)</f>
        <v>1</v>
      </c>
      <c r="P22" s="29">
        <f>VLOOKUP(2,AB20:AL23,4,FALSE)</f>
        <v>0</v>
      </c>
      <c r="Q22" s="29">
        <f>VLOOKUP(2,AB20:AL23,5,FALSE)</f>
        <v>0</v>
      </c>
      <c r="R22" s="29" t="str">
        <f>VLOOKUP(2,AB20:AL23,6,FALSE) &amp; " - " &amp; VLOOKUP(2,AB20:AL23,7,FALSE)</f>
        <v>2 - 1</v>
      </c>
      <c r="S22" s="30">
        <f>O22*3+P22</f>
        <v>3</v>
      </c>
      <c r="U22" s="62">
        <f>DATE(2014,6,17)+TIME(8,0,0)+gmt_delta</f>
        <v>41807.833333333336</v>
      </c>
      <c r="V22" s="68" t="str">
        <f t="shared" si="4"/>
        <v/>
      </c>
      <c r="W22" s="68" t="str">
        <f t="shared" si="2"/>
        <v/>
      </c>
      <c r="X22" s="63">
        <f t="shared" si="5"/>
        <v>0</v>
      </c>
      <c r="Y22" s="62">
        <f t="shared" si="6"/>
        <v>0</v>
      </c>
      <c r="Z22" s="62">
        <f t="shared" si="7"/>
        <v>0</v>
      </c>
      <c r="AB22" s="62">
        <f>COUNTIF(AO20:AO23,CONCATENATE("&gt;=",AO22))</f>
        <v>2</v>
      </c>
      <c r="AC22" s="63" t="str">
        <f>INDEX(T,64,lang)</f>
        <v>Costa d' Avorio</v>
      </c>
      <c r="AD22" s="62">
        <f>COUNTIF($V$7:$W$54,"=" &amp; AC22 &amp; "_win")</f>
        <v>1</v>
      </c>
      <c r="AE22" s="62">
        <f>COUNTIF($V$7:$W$54,"=" &amp; AC22 &amp; "_draw")</f>
        <v>0</v>
      </c>
      <c r="AF22" s="62">
        <f>COUNTIF($V$7:$W$54,"=" &amp; AC22 &amp; "_lose")</f>
        <v>0</v>
      </c>
      <c r="AG22" s="62">
        <f>SUMIF($E$7:$E$54,$AC22,$F$7:$F$54) + SUMIF($H$7:$H$54,$AC22,$G$7:$G$54)</f>
        <v>2</v>
      </c>
      <c r="AH22" s="62">
        <f>SUMIF($E$7:$E$54,$AC22,$G$7:$G$54) + SUMIF($H$7:$H$54,$AC22,$F$7:$F$54)</f>
        <v>1</v>
      </c>
      <c r="AI22" s="62">
        <f>(AG22-AH22)*100+AL22*10000+AG22</f>
        <v>30102</v>
      </c>
      <c r="AJ22" s="62">
        <f>AG22-AH22</f>
        <v>1</v>
      </c>
      <c r="AK22" s="62">
        <f>(AJ22-AJ25)/AJ24</f>
        <v>0.5714285714285714</v>
      </c>
      <c r="AL22" s="62">
        <f>AD22*3+AE22</f>
        <v>3</v>
      </c>
      <c r="AM22" s="62">
        <f>AQ22/AQ24*1000+AR22/AR24*100+AU22/AU24*10+AS22/AS24</f>
        <v>0</v>
      </c>
      <c r="AN22" s="62">
        <f>VLOOKUP(AC22,db_fifarank,2,FALSE)/2000000</f>
        <v>4.15E-4</v>
      </c>
      <c r="AO22" s="63">
        <f>1000*AL22/AL24+100*AK22+10*AG22/AG24+1*AM22/AM24+AN22</f>
        <v>812.14327214285709</v>
      </c>
      <c r="AQ22" s="65">
        <f>SUMPRODUCT(($V$7:$V$54=AC22&amp;"_win")*($X$7:$X$54))+SUMPRODUCT(($W$7:$W$54=AC22&amp;"_win")*($X$7:$X$54))</f>
        <v>0</v>
      </c>
      <c r="AR22" s="66">
        <f>SUMPRODUCT(($V$7:$V$54=AC22&amp;"_draw")*($X$7:$X$54))+SUMPRODUCT(($W$7:$W$54=AC22&amp;"_draw")*($X$7:$X$54))</f>
        <v>0</v>
      </c>
      <c r="AS22" s="66">
        <f>SUMPRODUCT(($E$7:$E$54=AC22)*($X$7:$X$54)*($F$7:$F$54))+SUMPRODUCT(($H$7:$H$54=AC22)*($X$7:$X$54)*($G$7:$G$54))</f>
        <v>0</v>
      </c>
      <c r="AT22" s="66">
        <f>SUMPRODUCT(($E$7:$E$54=AC22)*($X$7:$X$54)*($G$7:$G$54))+SUMPRODUCT(($H$7:$H$54=AC22)*($X$7:$X$54)*($F$7:$F$54))</f>
        <v>0</v>
      </c>
      <c r="AU22" s="66">
        <f>AS22-AT22</f>
        <v>0</v>
      </c>
    </row>
    <row r="23" spans="1:47" x14ac:dyDescent="0.2">
      <c r="A23" s="75">
        <v>17</v>
      </c>
      <c r="B23" s="76" t="str">
        <f t="shared" si="0"/>
        <v>Mar</v>
      </c>
      <c r="C23" s="77" t="str">
        <f t="shared" si="1"/>
        <v>Giu 17, 2014</v>
      </c>
      <c r="D23" s="78">
        <f t="shared" si="3"/>
        <v>0.95833333333333337</v>
      </c>
      <c r="E23" s="79" t="str">
        <f>AC52</f>
        <v>Russia</v>
      </c>
      <c r="F23" s="133"/>
      <c r="G23" s="133"/>
      <c r="H23" s="86" t="str">
        <f>AC53</f>
        <v>Corea del Sud</v>
      </c>
      <c r="I23" s="138" t="str">
        <f>INDEX(T,105,lang)</f>
        <v>Cuiaba</v>
      </c>
      <c r="J23" s="139"/>
      <c r="K23" s="140"/>
      <c r="M23" s="23" t="str">
        <f>VLOOKUP(3,AB20:AL23,2,FALSE)</f>
        <v>Giappone</v>
      </c>
      <c r="N23" s="29">
        <f>O23+P23+Q23</f>
        <v>1</v>
      </c>
      <c r="O23" s="29">
        <f>VLOOKUP(3,AB20:AL23,3,FALSE)</f>
        <v>0</v>
      </c>
      <c r="P23" s="29">
        <f>VLOOKUP(3,AB20:AL23,4,FALSE)</f>
        <v>0</v>
      </c>
      <c r="Q23" s="29">
        <f>VLOOKUP(3,AB20:AL23,5,FALSE)</f>
        <v>1</v>
      </c>
      <c r="R23" s="29" t="str">
        <f>VLOOKUP(3,AB20:AL23,6,FALSE) &amp; " - " &amp; VLOOKUP(3,AB20:AL23,7,FALSE)</f>
        <v>1 - 2</v>
      </c>
      <c r="S23" s="30">
        <f>O23*3+P23</f>
        <v>0</v>
      </c>
      <c r="U23" s="62">
        <f>DATE(2014,6,17)+TIME(11,0,0)+gmt_delta</f>
        <v>41807.958333333336</v>
      </c>
      <c r="V23" s="68" t="str">
        <f t="shared" si="4"/>
        <v/>
      </c>
      <c r="W23" s="68" t="str">
        <f t="shared" si="2"/>
        <v/>
      </c>
      <c r="X23" s="63">
        <f t="shared" si="5"/>
        <v>0</v>
      </c>
      <c r="Y23" s="62">
        <f t="shared" si="6"/>
        <v>0</v>
      </c>
      <c r="Z23" s="62">
        <f t="shared" si="7"/>
        <v>0</v>
      </c>
      <c r="AB23" s="62">
        <f>COUNTIF(AO20:AO23,CONCATENATE("&gt;=",AO23))</f>
        <v>3</v>
      </c>
      <c r="AC23" s="63" t="str">
        <f>INDEX(T,56,lang)</f>
        <v>Giappone</v>
      </c>
      <c r="AD23" s="62">
        <f>COUNTIF($V$7:$W$54,"=" &amp; AC23 &amp; "_win")</f>
        <v>0</v>
      </c>
      <c r="AE23" s="62">
        <f>COUNTIF($V$7:$W$54,"=" &amp; AC23 &amp; "_draw")</f>
        <v>0</v>
      </c>
      <c r="AF23" s="62">
        <f>COUNTIF($V$7:$W$54,"=" &amp; AC23 &amp; "_lose")</f>
        <v>1</v>
      </c>
      <c r="AG23" s="62">
        <f>SUMIF($E$7:$E$54,$AC23,$F$7:$F$54) + SUMIF($H$7:$H$54,$AC23,$G$7:$G$54)</f>
        <v>1</v>
      </c>
      <c r="AH23" s="62">
        <f>SUMIF($E$7:$E$54,$AC23,$G$7:$G$54) + SUMIF($H$7:$H$54,$AC23,$F$7:$F$54)</f>
        <v>2</v>
      </c>
      <c r="AI23" s="62">
        <f>(AG23-AH23)*100+AL23*10000+AG23</f>
        <v>-99</v>
      </c>
      <c r="AJ23" s="62">
        <f>AG23-AH23</f>
        <v>-1</v>
      </c>
      <c r="AK23" s="62">
        <f>(AJ23-AJ25)/AJ24</f>
        <v>0.2857142857142857</v>
      </c>
      <c r="AL23" s="62">
        <f>AD23*3+AE23</f>
        <v>0</v>
      </c>
      <c r="AM23" s="62">
        <f>AQ23/AQ24*1000+AR23/AR24*100+AU23/AU24*10+AS23/AS24</f>
        <v>0</v>
      </c>
      <c r="AN23" s="62">
        <f>VLOOKUP(AC23,db_fifarank,2,FALSE)/2000000</f>
        <v>3.0650000000000002E-4</v>
      </c>
      <c r="AO23" s="63">
        <f>1000*AL23/AL24+100*AK23+10*AG23/AG24+1*AM23/AM24+AN23</f>
        <v>31.07173507142857</v>
      </c>
      <c r="AQ23" s="65">
        <f>SUMPRODUCT(($V$7:$V$54=AC23&amp;"_win")*($X$7:$X$54))+SUMPRODUCT(($W$7:$W$54=AC23&amp;"_win")*($X$7:$X$54))</f>
        <v>0</v>
      </c>
      <c r="AR23" s="66">
        <f>SUMPRODUCT(($V$7:$V$54=AC23&amp;"_draw")*($X$7:$X$54))+SUMPRODUCT(($W$7:$W$54=AC23&amp;"_draw")*($X$7:$X$54))</f>
        <v>0</v>
      </c>
      <c r="AS23" s="66">
        <f>SUMPRODUCT(($E$7:$E$54=AC23)*($X$7:$X$54)*($F$7:$F$54))+SUMPRODUCT(($H$7:$H$54=AC23)*($X$7:$X$54)*($G$7:$G$54))</f>
        <v>0</v>
      </c>
      <c r="AT23" s="66">
        <f>SUMPRODUCT(($E$7:$E$54=AC23)*($X$7:$X$54)*($G$7:$G$54))+SUMPRODUCT(($H$7:$H$54=AC23)*($X$7:$X$54)*($F$7:$F$54))</f>
        <v>0</v>
      </c>
      <c r="AU23" s="66">
        <f>AS23-AT23</f>
        <v>0</v>
      </c>
    </row>
    <row r="24" spans="1:47" x14ac:dyDescent="0.2">
      <c r="A24" s="75">
        <v>18</v>
      </c>
      <c r="B24" s="76" t="str">
        <f t="shared" si="0"/>
        <v>Mer</v>
      </c>
      <c r="C24" s="77" t="str">
        <f t="shared" si="1"/>
        <v>Giu 18, 2014</v>
      </c>
      <c r="D24" s="78">
        <f t="shared" si="3"/>
        <v>0.70833333333333337</v>
      </c>
      <c r="E24" s="79" t="str">
        <f>AC17</f>
        <v>Australia</v>
      </c>
      <c r="F24" s="133"/>
      <c r="G24" s="133"/>
      <c r="H24" s="86" t="str">
        <f>AC15</f>
        <v>Paesi Bassi</v>
      </c>
      <c r="I24" s="138" t="str">
        <f>INDEX(T,110,lang)</f>
        <v>Porto Alegre</v>
      </c>
      <c r="J24" s="139"/>
      <c r="K24" s="140"/>
      <c r="M24" s="24" t="str">
        <f>VLOOKUP(4,AB20:AL23,2,FALSE)</f>
        <v>Grecia</v>
      </c>
      <c r="N24" s="31">
        <f>O24+P24+Q24</f>
        <v>1</v>
      </c>
      <c r="O24" s="31">
        <f>VLOOKUP(4,AB20:AL23,3,FALSE)</f>
        <v>0</v>
      </c>
      <c r="P24" s="31">
        <f>VLOOKUP(4,AB20:AL23,4,FALSE)</f>
        <v>0</v>
      </c>
      <c r="Q24" s="31">
        <f>VLOOKUP(4,AB20:AL23,5,FALSE)</f>
        <v>1</v>
      </c>
      <c r="R24" s="31" t="str">
        <f>VLOOKUP(4,AB20:AL23,6,FALSE) &amp; " - " &amp; VLOOKUP(4,AB20:AL23,7,FALSE)</f>
        <v>0 - 3</v>
      </c>
      <c r="S24" s="32">
        <f>O24*3+P24</f>
        <v>0</v>
      </c>
      <c r="U24" s="62">
        <f>DATE(2014,6,18)+TIME(5,0,0)+gmt_delta</f>
        <v>41808.708333333336</v>
      </c>
      <c r="V24" s="68" t="str">
        <f t="shared" si="4"/>
        <v/>
      </c>
      <c r="W24" s="68" t="str">
        <f t="shared" si="2"/>
        <v/>
      </c>
      <c r="X24" s="63">
        <f t="shared" si="5"/>
        <v>0</v>
      </c>
      <c r="Y24" s="62">
        <f t="shared" si="6"/>
        <v>0</v>
      </c>
      <c r="Z24" s="62">
        <f t="shared" si="7"/>
        <v>0</v>
      </c>
      <c r="AD24" s="62">
        <f t="shared" ref="AD24:AM24" si="10">MAX(AD20:AD23)-MIN(AD20:AD23)+1</f>
        <v>2</v>
      </c>
      <c r="AE24" s="62">
        <f t="shared" si="10"/>
        <v>1</v>
      </c>
      <c r="AF24" s="62">
        <f t="shared" si="10"/>
        <v>2</v>
      </c>
      <c r="AG24" s="62">
        <f t="shared" si="10"/>
        <v>4</v>
      </c>
      <c r="AH24" s="62">
        <f t="shared" si="10"/>
        <v>4</v>
      </c>
      <c r="AI24" s="62">
        <f>MAX(AI20:AI23)-AI25+1</f>
        <v>30604</v>
      </c>
      <c r="AJ24" s="62">
        <f>MAX(AJ20:AJ23)-AJ25+1</f>
        <v>7</v>
      </c>
      <c r="AL24" s="62">
        <f t="shared" si="10"/>
        <v>4</v>
      </c>
      <c r="AM24" s="62">
        <f t="shared" si="10"/>
        <v>1</v>
      </c>
      <c r="AQ24" s="62">
        <f>MAX(AQ20:AQ23)-MIN(AQ20:AQ23)+1</f>
        <v>1</v>
      </c>
      <c r="AR24" s="62">
        <f>MAX(AR20:AR23)-MIN(AR20:AR23)+1</f>
        <v>1</v>
      </c>
      <c r="AS24" s="62">
        <f>MAX(AS20:AS23)-MIN(AS20:AS23)+1</f>
        <v>1</v>
      </c>
      <c r="AT24" s="62">
        <f>MAX(AT20:AT23)-MIN(AT20:AT23)+1</f>
        <v>1</v>
      </c>
      <c r="AU24" s="62">
        <f>MAX(AU20:AU23)-MIN(AU20:AU23)+1</f>
        <v>1</v>
      </c>
    </row>
    <row r="25" spans="1:47" x14ac:dyDescent="0.2">
      <c r="A25" s="75">
        <v>19</v>
      </c>
      <c r="B25" s="76" t="str">
        <f t="shared" si="0"/>
        <v>Mer</v>
      </c>
      <c r="C25" s="77" t="str">
        <f t="shared" si="1"/>
        <v>Giu 18, 2014</v>
      </c>
      <c r="D25" s="78">
        <f t="shared" si="3"/>
        <v>0.95833333333333337</v>
      </c>
      <c r="E25" s="79" t="str">
        <f>AC11</f>
        <v>Camerun</v>
      </c>
      <c r="F25" s="133"/>
      <c r="G25" s="133"/>
      <c r="H25" s="86" t="str">
        <f>AC9</f>
        <v>Croazia</v>
      </c>
      <c r="I25" s="138" t="str">
        <f>INDEX(T,108,lang)</f>
        <v>Manaus</v>
      </c>
      <c r="J25" s="139"/>
      <c r="K25" s="140"/>
      <c r="M25" s="33"/>
      <c r="N25" s="34"/>
      <c r="O25" s="34"/>
      <c r="P25" s="34"/>
      <c r="Q25" s="34"/>
      <c r="R25" s="34"/>
      <c r="S25" s="34"/>
      <c r="U25" s="62">
        <f>DATE(2014,6,18)+TIME(11,0,0)+gmt_delta</f>
        <v>41808.958333333336</v>
      </c>
      <c r="V25" s="68" t="str">
        <f t="shared" si="4"/>
        <v/>
      </c>
      <c r="W25" s="68" t="str">
        <f t="shared" si="2"/>
        <v/>
      </c>
      <c r="X25" s="63">
        <f t="shared" si="5"/>
        <v>0</v>
      </c>
      <c r="Y25" s="62">
        <f t="shared" si="6"/>
        <v>0</v>
      </c>
      <c r="Z25" s="62">
        <f t="shared" si="7"/>
        <v>0</v>
      </c>
      <c r="AI25" s="62">
        <f>MIN(AI20:AI23)</f>
        <v>-300</v>
      </c>
      <c r="AJ25" s="62">
        <f>MIN(AJ20:AJ23)</f>
        <v>-3</v>
      </c>
    </row>
    <row r="26" spans="1:47" x14ac:dyDescent="0.2">
      <c r="A26" s="75">
        <v>20</v>
      </c>
      <c r="B26" s="76" t="str">
        <f t="shared" si="0"/>
        <v>Mer</v>
      </c>
      <c r="C26" s="77" t="str">
        <f t="shared" si="1"/>
        <v>Giu 18, 2014</v>
      </c>
      <c r="D26" s="78">
        <f t="shared" si="3"/>
        <v>0.83333333333333337</v>
      </c>
      <c r="E26" s="79" t="str">
        <f>AC14</f>
        <v>Spagna</v>
      </c>
      <c r="F26" s="133"/>
      <c r="G26" s="133"/>
      <c r="H26" s="86" t="str">
        <f>AC16</f>
        <v>Cile</v>
      </c>
      <c r="I26" s="138" t="str">
        <f>INDEX(T,112,lang)</f>
        <v>Rio De Janeiro</v>
      </c>
      <c r="J26" s="139"/>
      <c r="K26" s="140"/>
      <c r="M26" s="52" t="str">
        <f>INDEX(T,9,lang) &amp; " " &amp; "D"</f>
        <v>Gruppo D</v>
      </c>
      <c r="N26" s="53" t="str">
        <f>INDEX(T,10,lang)</f>
        <v>G</v>
      </c>
      <c r="O26" s="53" t="str">
        <f>INDEX(T,11,lang)</f>
        <v>V</v>
      </c>
      <c r="P26" s="53" t="str">
        <f>INDEX(T,12,lang)</f>
        <v>P</v>
      </c>
      <c r="Q26" s="53" t="str">
        <f>INDEX(T,13,lang)</f>
        <v>S</v>
      </c>
      <c r="R26" s="53" t="str">
        <f>INDEX(T,14,lang)</f>
        <v>GF - GS</v>
      </c>
      <c r="S26" s="53" t="str">
        <f>INDEX(T,15,lang)</f>
        <v>Punti</v>
      </c>
      <c r="U26" s="62">
        <f>DATE(2014,6,18)+TIME(8,0,0)+gmt_delta</f>
        <v>41808.833333333336</v>
      </c>
      <c r="V26" s="68" t="str">
        <f t="shared" si="4"/>
        <v/>
      </c>
      <c r="W26" s="68" t="str">
        <f t="shared" si="2"/>
        <v/>
      </c>
      <c r="X26" s="63">
        <f t="shared" si="5"/>
        <v>0</v>
      </c>
      <c r="Y26" s="62">
        <f t="shared" si="6"/>
        <v>0</v>
      </c>
      <c r="Z26" s="62">
        <f t="shared" si="7"/>
        <v>0</v>
      </c>
      <c r="AB26" s="62">
        <f>COUNTIF(AO26:AO29,CONCATENATE("&gt;=",AO26))</f>
        <v>4</v>
      </c>
      <c r="AC26" s="63" t="str">
        <f>INDEX(T,40,lang)</f>
        <v>Uruguay</v>
      </c>
      <c r="AD26" s="62">
        <f>COUNTIF($V$7:$W$54,"=" &amp; AC26 &amp; "_win")</f>
        <v>0</v>
      </c>
      <c r="AE26" s="62">
        <f>COUNTIF($V$7:$W$54,"=" &amp; AC26 &amp; "_draw")</f>
        <v>0</v>
      </c>
      <c r="AF26" s="62">
        <f>COUNTIF($V$7:$W$54,"=" &amp; AC26 &amp; "_lose")</f>
        <v>1</v>
      </c>
      <c r="AG26" s="62">
        <f>SUMIF($E$7:$E$54,$AC26,$F$7:$F$54) + SUMIF($H$7:$H$54,$AC26,$G$7:$G$54)</f>
        <v>1</v>
      </c>
      <c r="AH26" s="62">
        <f>SUMIF($E$7:$E$54,$AC26,$G$7:$G$54) + SUMIF($H$7:$H$54,$AC26,$F$7:$F$54)</f>
        <v>3</v>
      </c>
      <c r="AI26" s="62">
        <f>(AG26-AH26)*100+AL26*10000+AG26</f>
        <v>-199</v>
      </c>
      <c r="AJ26" s="62">
        <f>AG26-AH26</f>
        <v>-2</v>
      </c>
      <c r="AK26" s="62">
        <f>(AJ26-AJ31)/AJ30</f>
        <v>0</v>
      </c>
      <c r="AL26" s="62">
        <f>AD26*3+AE26</f>
        <v>0</v>
      </c>
      <c r="AM26" s="62">
        <f>AQ26/AQ30*1000+AR26/AR30*100+AU26/AU30*10+AS26/AS30</f>
        <v>0</v>
      </c>
      <c r="AN26" s="62">
        <f>VLOOKUP(AC26,db_fifarank,2,FALSE)/2000000</f>
        <v>5.9049999999999999E-4</v>
      </c>
      <c r="AO26" s="63">
        <f>1000*AL26/AL30+100*AK26+10*AG26/AG30+1*AM26/AM30+AN26</f>
        <v>3.3339238333333334</v>
      </c>
      <c r="AP26" s="64" t="str">
        <f>IF(SUM(AD26:AF29)=12,M27,INDEX(T,76,lang))</f>
        <v>1D</v>
      </c>
      <c r="AQ26" s="65">
        <f>SUMPRODUCT(($V$7:$V$54=AC26&amp;"_win")*($X$7:$X$54))+SUMPRODUCT(($W$7:$W$54=AC26&amp;"_win")*($X$7:$X$54))</f>
        <v>0</v>
      </c>
      <c r="AR26" s="66">
        <f>SUMPRODUCT(($V$7:$V$54=AC26&amp;"_draw")*($X$7:$X$54))+SUMPRODUCT(($W$7:$W$54=AC26&amp;"_draw")*($X$7:$X$54))</f>
        <v>0</v>
      </c>
      <c r="AS26" s="66">
        <f>SUMPRODUCT(($E$7:$E$54=AC26)*($X$7:$X$54)*($F$7:$F$54))+SUMPRODUCT(($H$7:$H$54=AC26)*($X$7:$X$54)*($G$7:$G$54))</f>
        <v>0</v>
      </c>
      <c r="AT26" s="66">
        <f>SUMPRODUCT(($E$7:$E$54=AC26)*($X$7:$X$54)*($G$7:$G$54))+SUMPRODUCT(($H$7:$H$54=AC26)*($X$7:$X$54)*($F$7:$F$54))</f>
        <v>0</v>
      </c>
      <c r="AU26" s="66">
        <f>AS26-AT26</f>
        <v>0</v>
      </c>
    </row>
    <row r="27" spans="1:47" x14ac:dyDescent="0.2">
      <c r="A27" s="75">
        <v>21</v>
      </c>
      <c r="B27" s="76" t="str">
        <f t="shared" si="0"/>
        <v>Gio</v>
      </c>
      <c r="C27" s="77" t="str">
        <f t="shared" si="1"/>
        <v>Giu 19, 2014</v>
      </c>
      <c r="D27" s="78">
        <f t="shared" si="3"/>
        <v>0.70833333333333337</v>
      </c>
      <c r="E27" s="79" t="str">
        <f>AC20</f>
        <v>Colombia</v>
      </c>
      <c r="F27" s="133"/>
      <c r="G27" s="133"/>
      <c r="H27" s="86" t="str">
        <f>AC22</f>
        <v>Costa d' Avorio</v>
      </c>
      <c r="I27" s="138" t="str">
        <f>INDEX(T,104,lang)</f>
        <v>Brasilia</v>
      </c>
      <c r="J27" s="139"/>
      <c r="K27" s="140"/>
      <c r="M27" s="22" t="str">
        <f>VLOOKUP(1,AB26:AL29,2,FALSE)</f>
        <v>Costarica</v>
      </c>
      <c r="N27" s="27">
        <f>O27+P27+Q27</f>
        <v>1</v>
      </c>
      <c r="O27" s="27">
        <f>VLOOKUP(1,AB26:AL29,3,FALSE)</f>
        <v>1</v>
      </c>
      <c r="P27" s="27">
        <f>VLOOKUP(1,AB26:AL29,4,FALSE)</f>
        <v>0</v>
      </c>
      <c r="Q27" s="27">
        <f>VLOOKUP(1,AB26:AL29,5,FALSE)</f>
        <v>0</v>
      </c>
      <c r="R27" s="27" t="str">
        <f>VLOOKUP(1,AB26:AL29,6,FALSE) &amp; " - " &amp; VLOOKUP(1,AB26:AL29,7,FALSE)</f>
        <v>3 - 1</v>
      </c>
      <c r="S27" s="28">
        <f>O27*3+P27</f>
        <v>3</v>
      </c>
      <c r="U27" s="62">
        <f>DATE(2014,6,19)+TIME(5,0,0)+gmt_delta</f>
        <v>41809.708333333336</v>
      </c>
      <c r="V27" s="68" t="str">
        <f t="shared" si="4"/>
        <v/>
      </c>
      <c r="W27" s="68" t="str">
        <f t="shared" si="2"/>
        <v/>
      </c>
      <c r="X27" s="63">
        <f t="shared" si="5"/>
        <v>0</v>
      </c>
      <c r="Y27" s="62">
        <f t="shared" si="6"/>
        <v>0</v>
      </c>
      <c r="Z27" s="62">
        <f t="shared" si="7"/>
        <v>0</v>
      </c>
      <c r="AB27" s="62">
        <f>COUNTIF(AO26:AO29,CONCATENATE("&gt;=",AO27))</f>
        <v>1</v>
      </c>
      <c r="AC27" s="63" t="str">
        <f>INDEX(T,55,lang)</f>
        <v>Costarica</v>
      </c>
      <c r="AD27" s="62">
        <f>COUNTIF($V$7:$W$54,"=" &amp; AC27 &amp; "_win")</f>
        <v>1</v>
      </c>
      <c r="AE27" s="62">
        <f>COUNTIF($V$7:$W$54,"=" &amp; AC27 &amp; "_draw")</f>
        <v>0</v>
      </c>
      <c r="AF27" s="62">
        <f>COUNTIF($V$7:$W$54,"=" &amp; AC27 &amp; "_lose")</f>
        <v>0</v>
      </c>
      <c r="AG27" s="62">
        <f>SUMIF($E$7:$E$54,$AC27,$F$7:$F$54) + SUMIF($H$7:$H$54,$AC27,$G$7:$G$54)</f>
        <v>3</v>
      </c>
      <c r="AH27" s="62">
        <f>SUMIF($E$7:$E$54,$AC27,$G$7:$G$54) + SUMIF($H$7:$H$54,$AC27,$F$7:$F$54)</f>
        <v>1</v>
      </c>
      <c r="AI27" s="62">
        <f>(AG27-AH27)*100+AL27*10000+AG27</f>
        <v>30203</v>
      </c>
      <c r="AJ27" s="62">
        <f>AG27-AH27</f>
        <v>2</v>
      </c>
      <c r="AK27" s="62">
        <f>(AJ27-AJ31)/AJ30</f>
        <v>0.8</v>
      </c>
      <c r="AL27" s="62">
        <f>AD27*3+AE27</f>
        <v>3</v>
      </c>
      <c r="AM27" s="62">
        <f>AQ27/AQ30*1000+AR27/AR30*100+AU27/AU30*10+AS27/AS30</f>
        <v>0</v>
      </c>
      <c r="AN27" s="62">
        <f>VLOOKUP(AC27,db_fifarank,2,FALSE)/2000000</f>
        <v>3.7199999999999999E-4</v>
      </c>
      <c r="AO27" s="63">
        <f>1000*AL27/AL30+100*AK27+10*AG27/AG30+1*AM27/AM30+AN27</f>
        <v>840.00037199999997</v>
      </c>
      <c r="AP27" s="64" t="str">
        <f>IF(SUM(AD26:AF29)=12,M28,INDEX(T,77,lang))</f>
        <v>2D</v>
      </c>
      <c r="AQ27" s="65">
        <f>SUMPRODUCT(($V$7:$V$54=AC27&amp;"_win")*($X$7:$X$54))+SUMPRODUCT(($W$7:$W$54=AC27&amp;"_win")*($X$7:$X$54))</f>
        <v>0</v>
      </c>
      <c r="AR27" s="66">
        <f>SUMPRODUCT(($V$7:$V$54=AC27&amp;"_draw")*($X$7:$X$54))+SUMPRODUCT(($W$7:$W$54=AC27&amp;"_draw")*($X$7:$X$54))</f>
        <v>0</v>
      </c>
      <c r="AS27" s="66">
        <f>SUMPRODUCT(($E$7:$E$54=AC27)*($X$7:$X$54)*($F$7:$F$54))+SUMPRODUCT(($H$7:$H$54=AC27)*($X$7:$X$54)*($G$7:$G$54))</f>
        <v>0</v>
      </c>
      <c r="AT27" s="66">
        <f>SUMPRODUCT(($E$7:$E$54=AC27)*($X$7:$X$54)*($G$7:$G$54))+SUMPRODUCT(($H$7:$H$54=AC27)*($X$7:$X$54)*($F$7:$F$54))</f>
        <v>0</v>
      </c>
      <c r="AU27" s="66">
        <f>AS27-AT27</f>
        <v>0</v>
      </c>
    </row>
    <row r="28" spans="1:47" x14ac:dyDescent="0.2">
      <c r="A28" s="75">
        <v>22</v>
      </c>
      <c r="B28" s="76" t="str">
        <f t="shared" si="0"/>
        <v>Gio</v>
      </c>
      <c r="C28" s="77" t="str">
        <f t="shared" si="1"/>
        <v>Giu 19, 2014</v>
      </c>
      <c r="D28" s="78">
        <f t="shared" si="3"/>
        <v>0.83333333333333337</v>
      </c>
      <c r="E28" s="79" t="str">
        <f>AC26</f>
        <v>Uruguay</v>
      </c>
      <c r="F28" s="133"/>
      <c r="G28" s="133"/>
      <c r="H28" s="86" t="str">
        <f>AC28</f>
        <v>Inghilterra</v>
      </c>
      <c r="I28" s="138" t="str">
        <f>INDEX(T,114,lang)</f>
        <v>Sao Paulo</v>
      </c>
      <c r="J28" s="139"/>
      <c r="K28" s="140"/>
      <c r="M28" s="23" t="str">
        <f>VLOOKUP(2,AB26:AL29,2,FALSE)</f>
        <v>Italia</v>
      </c>
      <c r="N28" s="29">
        <f>O28+P28+Q28</f>
        <v>1</v>
      </c>
      <c r="O28" s="29">
        <f>VLOOKUP(2,AB26:AL29,3,FALSE)</f>
        <v>1</v>
      </c>
      <c r="P28" s="29">
        <f>VLOOKUP(2,AB26:AL29,4,FALSE)</f>
        <v>0</v>
      </c>
      <c r="Q28" s="29">
        <f>VLOOKUP(2,AB26:AL29,5,FALSE)</f>
        <v>0</v>
      </c>
      <c r="R28" s="29" t="str">
        <f>VLOOKUP(2,AB26:AL29,6,FALSE) &amp; " - " &amp; VLOOKUP(2,AB26:AL29,7,FALSE)</f>
        <v>2 - 1</v>
      </c>
      <c r="S28" s="30">
        <f>O28*3+P28</f>
        <v>3</v>
      </c>
      <c r="U28" s="62">
        <f>DATE(2014,6,19)+TIME(8,0,0)+gmt_delta</f>
        <v>41809.833333333336</v>
      </c>
      <c r="V28" s="68" t="str">
        <f t="shared" si="4"/>
        <v/>
      </c>
      <c r="W28" s="68" t="str">
        <f t="shared" si="2"/>
        <v/>
      </c>
      <c r="X28" s="63">
        <f t="shared" si="5"/>
        <v>0</v>
      </c>
      <c r="Y28" s="62">
        <f t="shared" si="6"/>
        <v>0</v>
      </c>
      <c r="Z28" s="62">
        <f t="shared" si="7"/>
        <v>0</v>
      </c>
      <c r="AB28" s="62">
        <f>COUNTIF(AO26:AO29,CONCATENATE("&gt;=",AO28))</f>
        <v>3</v>
      </c>
      <c r="AC28" s="63" t="str">
        <f>INDEX(T,46,lang)</f>
        <v>Inghilterra</v>
      </c>
      <c r="AD28" s="62">
        <f>COUNTIF($V$7:$W$54,"=" &amp; AC28 &amp; "_win")</f>
        <v>0</v>
      </c>
      <c r="AE28" s="62">
        <f>COUNTIF($V$7:$W$54,"=" &amp; AC28 &amp; "_draw")</f>
        <v>0</v>
      </c>
      <c r="AF28" s="62">
        <f>COUNTIF($V$7:$W$54,"=" &amp; AC28 &amp; "_lose")</f>
        <v>1</v>
      </c>
      <c r="AG28" s="62">
        <f>SUMIF($E$7:$E$54,$AC28,$F$7:$F$54) + SUMIF($H$7:$H$54,$AC28,$G$7:$G$54)</f>
        <v>1</v>
      </c>
      <c r="AH28" s="62">
        <f>SUMIF($E$7:$E$54,$AC28,$G$7:$G$54) + SUMIF($H$7:$H$54,$AC28,$F$7:$F$54)</f>
        <v>2</v>
      </c>
      <c r="AI28" s="62">
        <f>(AG28-AH28)*100+AL28*10000+AG28</f>
        <v>-99</v>
      </c>
      <c r="AJ28" s="62">
        <f>AG28-AH28</f>
        <v>-1</v>
      </c>
      <c r="AK28" s="62">
        <f>(AJ28-AJ31)/AJ30</f>
        <v>0.2</v>
      </c>
      <c r="AL28" s="62">
        <f>AD28*3+AE28</f>
        <v>0</v>
      </c>
      <c r="AM28" s="62">
        <f>AQ28/AQ30*1000+AR28/AR30*100+AU28/AU30*10+AS28/AS30</f>
        <v>0</v>
      </c>
      <c r="AN28" s="62">
        <f>VLOOKUP(AC28,db_fifarank,2,FALSE)/2000000</f>
        <v>5.2150000000000005E-4</v>
      </c>
      <c r="AO28" s="63">
        <f>1000*AL28/AL30+100*AK28+10*AG28/AG30+1*AM28/AM30+AN28</f>
        <v>23.333854833333334</v>
      </c>
      <c r="AQ28" s="65">
        <f>SUMPRODUCT(($V$7:$V$54=AC28&amp;"_win")*($X$7:$X$54))+SUMPRODUCT(($W$7:$W$54=AC28&amp;"_win")*($X$7:$X$54))</f>
        <v>0</v>
      </c>
      <c r="AR28" s="66">
        <f>SUMPRODUCT(($V$7:$V$54=AC28&amp;"_draw")*($X$7:$X$54))+SUMPRODUCT(($W$7:$W$54=AC28&amp;"_draw")*($X$7:$X$54))</f>
        <v>0</v>
      </c>
      <c r="AS28" s="66">
        <f>SUMPRODUCT(($E$7:$E$54=AC28)*($X$7:$X$54)*($F$7:$F$54))+SUMPRODUCT(($H$7:$H$54=AC28)*($X$7:$X$54)*($G$7:$G$54))</f>
        <v>0</v>
      </c>
      <c r="AT28" s="66">
        <f>SUMPRODUCT(($E$7:$E$54=AC28)*($X$7:$X$54)*($G$7:$G$54))+SUMPRODUCT(($H$7:$H$54=AC28)*($X$7:$X$54)*($F$7:$F$54))</f>
        <v>0</v>
      </c>
      <c r="AU28" s="66">
        <f>AS28-AT28</f>
        <v>0</v>
      </c>
    </row>
    <row r="29" spans="1:47" x14ac:dyDescent="0.2">
      <c r="A29" s="75">
        <v>23</v>
      </c>
      <c r="B29" s="76" t="str">
        <f t="shared" si="0"/>
        <v>Gio</v>
      </c>
      <c r="C29" s="77" t="str">
        <f t="shared" si="1"/>
        <v>Giu 19, 2014</v>
      </c>
      <c r="D29" s="78">
        <f t="shared" si="3"/>
        <v>0.95833333333333337</v>
      </c>
      <c r="E29" s="79" t="str">
        <f>AC23</f>
        <v>Giappone</v>
      </c>
      <c r="F29" s="133"/>
      <c r="G29" s="133"/>
      <c r="H29" s="86" t="str">
        <f>AC21</f>
        <v>Grecia</v>
      </c>
      <c r="I29" s="138" t="str">
        <f>INDEX(T,109,lang)</f>
        <v>natale</v>
      </c>
      <c r="J29" s="139"/>
      <c r="K29" s="140"/>
      <c r="M29" s="23" t="str">
        <f>VLOOKUP(3,AB26:AL29,2,FALSE)</f>
        <v>Inghilterra</v>
      </c>
      <c r="N29" s="29">
        <f>O29+P29+Q29</f>
        <v>1</v>
      </c>
      <c r="O29" s="29">
        <f>VLOOKUP(3,AB26:AL29,3,FALSE)</f>
        <v>0</v>
      </c>
      <c r="P29" s="29">
        <f>VLOOKUP(3,AB26:AL29,4,FALSE)</f>
        <v>0</v>
      </c>
      <c r="Q29" s="29">
        <f>VLOOKUP(3,AB26:AL29,5,FALSE)</f>
        <v>1</v>
      </c>
      <c r="R29" s="29" t="str">
        <f>VLOOKUP(3,AB26:AL29,6,FALSE) &amp; " - " &amp; VLOOKUP(3,AB26:AL29,7,FALSE)</f>
        <v>1 - 2</v>
      </c>
      <c r="S29" s="30">
        <f>O29*3+P29</f>
        <v>0</v>
      </c>
      <c r="U29" s="62">
        <f>DATE(2014,6,19)+TIME(11,0,0)+gmt_delta</f>
        <v>41809.958333333336</v>
      </c>
      <c r="V29" s="68" t="str">
        <f t="shared" si="4"/>
        <v/>
      </c>
      <c r="W29" s="68" t="str">
        <f t="shared" si="2"/>
        <v/>
      </c>
      <c r="X29" s="63">
        <f t="shared" si="5"/>
        <v>0</v>
      </c>
      <c r="Y29" s="62">
        <f t="shared" si="6"/>
        <v>0</v>
      </c>
      <c r="Z29" s="62">
        <f t="shared" si="7"/>
        <v>0</v>
      </c>
      <c r="AB29" s="62">
        <f>COUNTIF(AO26:AO29,CONCATENATE("&gt;=",AO29))</f>
        <v>2</v>
      </c>
      <c r="AC29" s="63" t="str">
        <f>INDEX(T,58,lang)</f>
        <v>Italia</v>
      </c>
      <c r="AD29" s="62">
        <f>COUNTIF($V$7:$W$54,"=" &amp; AC29 &amp; "_win")</f>
        <v>1</v>
      </c>
      <c r="AE29" s="62">
        <f>COUNTIF($V$7:$W$54,"=" &amp; AC29 &amp; "_draw")</f>
        <v>0</v>
      </c>
      <c r="AF29" s="62">
        <f>COUNTIF($V$7:$W$54,"=" &amp; AC29 &amp; "_lose")</f>
        <v>0</v>
      </c>
      <c r="AG29" s="62">
        <f>SUMIF($E$7:$E$54,$AC29,$F$7:$F$54) + SUMIF($H$7:$H$54,$AC29,$G$7:$G$54)</f>
        <v>2</v>
      </c>
      <c r="AH29" s="62">
        <f>SUMIF($E$7:$E$54,$AC29,$G$7:$G$54) + SUMIF($H$7:$H$54,$AC29,$F$7:$F$54)</f>
        <v>1</v>
      </c>
      <c r="AI29" s="62">
        <f>(AG29-AH29)*100+AL29*10000+AG29</f>
        <v>30102</v>
      </c>
      <c r="AJ29" s="62">
        <f>AG29-AH29</f>
        <v>1</v>
      </c>
      <c r="AK29" s="62">
        <f>(AJ29-AJ31)/AJ30</f>
        <v>0.6</v>
      </c>
      <c r="AL29" s="62">
        <f>AD29*3+AE29</f>
        <v>3</v>
      </c>
      <c r="AM29" s="62">
        <f>AQ29/AQ30*1000+AR29/AR30*100+AU29/AU30*10+AS29/AS30</f>
        <v>0</v>
      </c>
      <c r="AN29" s="62">
        <f>VLOOKUP(AC29,db_fifarank,2,FALSE)/2000000</f>
        <v>5.5750000000000005E-4</v>
      </c>
      <c r="AO29" s="63">
        <f>1000*AL29/AL30+100*AK29+10*AG29/AG30+1*AM29/AM30+AN29</f>
        <v>816.66722416666664</v>
      </c>
      <c r="AQ29" s="65">
        <f>SUMPRODUCT(($V$7:$V$54=AC29&amp;"_win")*($X$7:$X$54))+SUMPRODUCT(($W$7:$W$54=AC29&amp;"_win")*($X$7:$X$54))</f>
        <v>0</v>
      </c>
      <c r="AR29" s="66">
        <f>SUMPRODUCT(($V$7:$V$54=AC29&amp;"_draw")*($X$7:$X$54))+SUMPRODUCT(($W$7:$W$54=AC29&amp;"_draw")*($X$7:$X$54))</f>
        <v>0</v>
      </c>
      <c r="AS29" s="66">
        <f>SUMPRODUCT(($E$7:$E$54=AC29)*($X$7:$X$54)*($F$7:$F$54))+SUMPRODUCT(($H$7:$H$54=AC29)*($X$7:$X$54)*($G$7:$G$54))</f>
        <v>0</v>
      </c>
      <c r="AT29" s="66">
        <f>SUMPRODUCT(($E$7:$E$54=AC29)*($X$7:$X$54)*($G$7:$G$54))+SUMPRODUCT(($H$7:$H$54=AC29)*($X$7:$X$54)*($F$7:$F$54))</f>
        <v>0</v>
      </c>
      <c r="AU29" s="66">
        <f>AS29-AT29</f>
        <v>0</v>
      </c>
    </row>
    <row r="30" spans="1:47" x14ac:dyDescent="0.2">
      <c r="A30" s="75">
        <v>24</v>
      </c>
      <c r="B30" s="76" t="str">
        <f t="shared" si="0"/>
        <v>Ven</v>
      </c>
      <c r="C30" s="77" t="str">
        <f t="shared" si="1"/>
        <v>Giu 20, 2014</v>
      </c>
      <c r="D30" s="78">
        <f t="shared" si="3"/>
        <v>0.70833333333333337</v>
      </c>
      <c r="E30" s="79" t="str">
        <f>AC29</f>
        <v>Italia</v>
      </c>
      <c r="F30" s="133"/>
      <c r="G30" s="133"/>
      <c r="H30" s="86" t="str">
        <f>AC27</f>
        <v>Costarica</v>
      </c>
      <c r="I30" s="138" t="str">
        <f>INDEX(T,111,lang)</f>
        <v>Recife</v>
      </c>
      <c r="J30" s="139"/>
      <c r="K30" s="140"/>
      <c r="M30" s="24" t="str">
        <f>VLOOKUP(4,AB26:AL29,2,FALSE)</f>
        <v>Uruguay</v>
      </c>
      <c r="N30" s="31">
        <f>O30+P30+Q30</f>
        <v>1</v>
      </c>
      <c r="O30" s="31">
        <f>VLOOKUP(4,AB26:AL29,3,FALSE)</f>
        <v>0</v>
      </c>
      <c r="P30" s="31">
        <f>VLOOKUP(4,AB26:AL29,4,FALSE)</f>
        <v>0</v>
      </c>
      <c r="Q30" s="31">
        <f>VLOOKUP(4,AB26:AL29,5,FALSE)</f>
        <v>1</v>
      </c>
      <c r="R30" s="31" t="str">
        <f>VLOOKUP(4,AB26:AL29,6,FALSE) &amp; " - " &amp; VLOOKUP(4,AB26:AL29,7,FALSE)</f>
        <v>1 - 3</v>
      </c>
      <c r="S30" s="32">
        <f>O30*3+P30</f>
        <v>0</v>
      </c>
      <c r="U30" s="62">
        <f>DATE(2014,6,20)+TIME(5,0,0)+gmt_delta</f>
        <v>41810.708333333336</v>
      </c>
      <c r="V30" s="68" t="str">
        <f t="shared" si="4"/>
        <v/>
      </c>
      <c r="W30" s="68" t="str">
        <f t="shared" si="2"/>
        <v/>
      </c>
      <c r="X30" s="63">
        <f t="shared" si="5"/>
        <v>0</v>
      </c>
      <c r="Y30" s="62">
        <f t="shared" si="6"/>
        <v>0</v>
      </c>
      <c r="Z30" s="62">
        <f t="shared" si="7"/>
        <v>0</v>
      </c>
      <c r="AD30" s="62">
        <f t="shared" ref="AD30:AM30" si="11">MAX(AD26:AD29)-MIN(AD26:AD29)+1</f>
        <v>2</v>
      </c>
      <c r="AE30" s="62">
        <f t="shared" si="11"/>
        <v>1</v>
      </c>
      <c r="AF30" s="62">
        <f t="shared" si="11"/>
        <v>2</v>
      </c>
      <c r="AG30" s="62">
        <f t="shared" si="11"/>
        <v>3</v>
      </c>
      <c r="AH30" s="62">
        <f t="shared" si="11"/>
        <v>3</v>
      </c>
      <c r="AI30" s="62">
        <f>MAX(AI26:AI29)-AI31+1</f>
        <v>30403</v>
      </c>
      <c r="AJ30" s="62">
        <f>MAX(AJ26:AJ29)-AJ31+1</f>
        <v>5</v>
      </c>
      <c r="AL30" s="62">
        <f t="shared" si="11"/>
        <v>4</v>
      </c>
      <c r="AM30" s="62">
        <f t="shared" si="11"/>
        <v>1</v>
      </c>
      <c r="AQ30" s="62">
        <f>MAX(AQ26:AQ29)-MIN(AQ26:AQ29)+1</f>
        <v>1</v>
      </c>
      <c r="AR30" s="62">
        <f>MAX(AR26:AR29)-MIN(AR26:AR29)+1</f>
        <v>1</v>
      </c>
      <c r="AS30" s="62">
        <f>MAX(AS26:AS29)-MIN(AS26:AS29)+1</f>
        <v>1</v>
      </c>
      <c r="AT30" s="62">
        <f>MAX(AT26:AT29)-MIN(AT26:AT29)+1</f>
        <v>1</v>
      </c>
      <c r="AU30" s="62">
        <f>MAX(AU26:AU29)-MIN(AU26:AU29)+1</f>
        <v>1</v>
      </c>
    </row>
    <row r="31" spans="1:47" x14ac:dyDescent="0.2">
      <c r="A31" s="75">
        <v>25</v>
      </c>
      <c r="B31" s="76" t="str">
        <f t="shared" si="0"/>
        <v>Ven</v>
      </c>
      <c r="C31" s="77" t="str">
        <f t="shared" si="1"/>
        <v>Giu 20, 2014</v>
      </c>
      <c r="D31" s="78">
        <f t="shared" si="3"/>
        <v>0.83333333333333337</v>
      </c>
      <c r="E31" s="79" t="str">
        <f>AC32</f>
        <v>Svizzera</v>
      </c>
      <c r="F31" s="133"/>
      <c r="G31" s="133"/>
      <c r="H31" s="86" t="str">
        <f>AC34</f>
        <v>Francia</v>
      </c>
      <c r="I31" s="138" t="str">
        <f>INDEX(T,113,lang)</f>
        <v>Salvador</v>
      </c>
      <c r="J31" s="139"/>
      <c r="K31" s="140"/>
      <c r="U31" s="62">
        <f>DATE(2014,6,20)+TIME(8,0,0)+gmt_delta</f>
        <v>41810.833333333336</v>
      </c>
      <c r="V31" s="68" t="str">
        <f t="shared" si="4"/>
        <v/>
      </c>
      <c r="W31" s="68" t="str">
        <f t="shared" si="2"/>
        <v/>
      </c>
      <c r="X31" s="63">
        <f t="shared" si="5"/>
        <v>0</v>
      </c>
      <c r="Y31" s="62">
        <f t="shared" si="6"/>
        <v>0</v>
      </c>
      <c r="Z31" s="62">
        <f t="shared" si="7"/>
        <v>0</v>
      </c>
      <c r="AI31" s="62">
        <f>MIN(AI26:AI29)</f>
        <v>-199</v>
      </c>
      <c r="AJ31" s="62">
        <f>MIN(AJ26:AJ29)</f>
        <v>-2</v>
      </c>
    </row>
    <row r="32" spans="1:47" x14ac:dyDescent="0.2">
      <c r="A32" s="75">
        <v>26</v>
      </c>
      <c r="B32" s="76" t="str">
        <f t="shared" si="0"/>
        <v>Ven</v>
      </c>
      <c r="C32" s="77" t="str">
        <f t="shared" si="1"/>
        <v>Giu 20, 2014</v>
      </c>
      <c r="D32" s="78">
        <f t="shared" si="3"/>
        <v>0.95833333333333337</v>
      </c>
      <c r="E32" s="79" t="str">
        <f>AC35</f>
        <v>Honduras</v>
      </c>
      <c r="F32" s="133"/>
      <c r="G32" s="133"/>
      <c r="H32" s="86" t="str">
        <f>AC33</f>
        <v>Ecuador</v>
      </c>
      <c r="I32" s="138" t="str">
        <f>INDEX(T,106,lang)</f>
        <v>Curitiba</v>
      </c>
      <c r="J32" s="139"/>
      <c r="K32" s="140"/>
      <c r="M32" s="52" t="str">
        <f>INDEX(T,9,lang) &amp; " " &amp; "E"</f>
        <v>Gruppo E</v>
      </c>
      <c r="N32" s="53" t="str">
        <f>INDEX(T,10,lang)</f>
        <v>G</v>
      </c>
      <c r="O32" s="53" t="str">
        <f>INDEX(T,11,lang)</f>
        <v>V</v>
      </c>
      <c r="P32" s="53" t="str">
        <f>INDEX(T,12,lang)</f>
        <v>P</v>
      </c>
      <c r="Q32" s="53" t="str">
        <f>INDEX(T,13,lang)</f>
        <v>S</v>
      </c>
      <c r="R32" s="53" t="str">
        <f>INDEX(T,14,lang)</f>
        <v>GF - GS</v>
      </c>
      <c r="S32" s="53" t="str">
        <f>INDEX(T,15,lang)</f>
        <v>Punti</v>
      </c>
      <c r="U32" s="62">
        <f>DATE(2014,6,20)+TIME(11,0,0)+gmt_delta</f>
        <v>41810.958333333336</v>
      </c>
      <c r="V32" s="68" t="str">
        <f t="shared" si="4"/>
        <v/>
      </c>
      <c r="W32" s="68" t="str">
        <f t="shared" si="2"/>
        <v/>
      </c>
      <c r="X32" s="63">
        <f t="shared" si="5"/>
        <v>0</v>
      </c>
      <c r="Y32" s="62">
        <f t="shared" si="6"/>
        <v>0</v>
      </c>
      <c r="Z32" s="62">
        <f t="shared" si="7"/>
        <v>0</v>
      </c>
      <c r="AB32" s="62">
        <f>COUNTIF(AO32:AO35,CONCATENATE("&gt;=",AO32))</f>
        <v>2</v>
      </c>
      <c r="AC32" s="63" t="str">
        <f>INDEX(T,67,lang)</f>
        <v>Svizzera</v>
      </c>
      <c r="AD32" s="62">
        <f>COUNTIF($V$7:$W$54,"=" &amp; AC32 &amp; "_win")</f>
        <v>1</v>
      </c>
      <c r="AE32" s="62">
        <f>COUNTIF($V$7:$W$54,"=" &amp; AC32 &amp; "_draw")</f>
        <v>0</v>
      </c>
      <c r="AF32" s="62">
        <f>COUNTIF($V$7:$W$54,"=" &amp; AC32 &amp; "_lose")</f>
        <v>0</v>
      </c>
      <c r="AG32" s="62">
        <f>SUMIF($E$7:$E$54,$AC32,$F$7:$F$54) + SUMIF($H$7:$H$54,$AC32,$G$7:$G$54)</f>
        <v>2</v>
      </c>
      <c r="AH32" s="62">
        <f>SUMIF($E$7:$E$54,$AC32,$G$7:$G$54) + SUMIF($H$7:$H$54,$AC32,$F$7:$F$54)</f>
        <v>1</v>
      </c>
      <c r="AI32" s="62">
        <f>(AG32-AH32)*100+AL32*10000+AG32</f>
        <v>30102</v>
      </c>
      <c r="AJ32" s="62">
        <f>AG32-AH32</f>
        <v>1</v>
      </c>
      <c r="AK32" s="62">
        <f>(AJ32-AJ37)/AJ36</f>
        <v>0.5714285714285714</v>
      </c>
      <c r="AL32" s="62">
        <f>AD32*3+AE32</f>
        <v>3</v>
      </c>
      <c r="AM32" s="62">
        <f>AQ32/AQ36*1000+AR32/AR36*100+AU32/AU36*10+AS32/AS36</f>
        <v>0</v>
      </c>
      <c r="AN32" s="62">
        <f>VLOOKUP(AC32,db_fifarank,2,FALSE)/2000000</f>
        <v>5.8049999999999996E-4</v>
      </c>
      <c r="AO32" s="63">
        <f>1000*AL32/AL36+100*AK32+10*AG32/AG36+1*AM32/AM36+AN32</f>
        <v>812.14343764285707</v>
      </c>
      <c r="AP32" s="64" t="str">
        <f>IF(SUM(AD32:AF35)=12,M33,INDEX(T,78,lang))</f>
        <v>1E</v>
      </c>
      <c r="AQ32" s="65">
        <f>SUMPRODUCT(($V$7:$V$54=AC32&amp;"_win")*($X$7:$X$54))+SUMPRODUCT(($W$7:$W$54=AC32&amp;"_win")*($X$7:$X$54))</f>
        <v>0</v>
      </c>
      <c r="AR32" s="66">
        <f>SUMPRODUCT(($V$7:$V$54=AC32&amp;"_draw")*($X$7:$X$54))+SUMPRODUCT(($W$7:$W$54=AC32&amp;"_draw")*($X$7:$X$54))</f>
        <v>0</v>
      </c>
      <c r="AS32" s="66">
        <f>SUMPRODUCT(($E$7:$E$54=AC32)*($X$7:$X$54)*($F$7:$F$54))+SUMPRODUCT(($H$7:$H$54=AC32)*($X$7:$X$54)*($G$7:$G$54))</f>
        <v>0</v>
      </c>
      <c r="AT32" s="66">
        <f>SUMPRODUCT(($E$7:$E$54=AC32)*($X$7:$X$54)*($G$7:$G$54))+SUMPRODUCT(($H$7:$H$54=AC32)*($X$7:$X$54)*($F$7:$F$54))</f>
        <v>0</v>
      </c>
      <c r="AU32" s="66">
        <f>AS32-AT32</f>
        <v>0</v>
      </c>
    </row>
    <row r="33" spans="1:47" x14ac:dyDescent="0.2">
      <c r="A33" s="75">
        <v>27</v>
      </c>
      <c r="B33" s="76" t="str">
        <f t="shared" si="0"/>
        <v>Sab</v>
      </c>
      <c r="C33" s="77" t="str">
        <f t="shared" si="1"/>
        <v>Giu 21, 2014</v>
      </c>
      <c r="D33" s="78">
        <f t="shared" si="3"/>
        <v>0.70833333333333337</v>
      </c>
      <c r="E33" s="79" t="str">
        <f>AC38</f>
        <v>Argentina</v>
      </c>
      <c r="F33" s="133"/>
      <c r="G33" s="133"/>
      <c r="H33" s="86" t="str">
        <f>AC40</f>
        <v>Iran</v>
      </c>
      <c r="I33" s="138" t="str">
        <f>INDEX(T,103,lang)</f>
        <v>Belo Horizonte</v>
      </c>
      <c r="J33" s="139"/>
      <c r="K33" s="140"/>
      <c r="M33" s="22" t="str">
        <f>VLOOKUP(1,AB32:AL35,2,FALSE)</f>
        <v>Francia</v>
      </c>
      <c r="N33" s="27">
        <f>O33+P33+Q33</f>
        <v>1</v>
      </c>
      <c r="O33" s="27">
        <f>VLOOKUP(1,AB32:AL35,3,FALSE)</f>
        <v>1</v>
      </c>
      <c r="P33" s="27">
        <f>VLOOKUP(1,AB32:AL35,4,FALSE)</f>
        <v>0</v>
      </c>
      <c r="Q33" s="27">
        <f>VLOOKUP(1,AB32:AL35,5,FALSE)</f>
        <v>0</v>
      </c>
      <c r="R33" s="27" t="str">
        <f>VLOOKUP(1,AB32:AL35,6,FALSE) &amp; " - " &amp; VLOOKUP(1,AB32:AL35,7,FALSE)</f>
        <v>3 - 0</v>
      </c>
      <c r="S33" s="28">
        <f>O33*3+P33</f>
        <v>3</v>
      </c>
      <c r="U33" s="62">
        <f>DATE(2014,6,21)+TIME(5,0,0)+gmt_delta</f>
        <v>41811.708333333336</v>
      </c>
      <c r="V33" s="68" t="str">
        <f t="shared" si="4"/>
        <v/>
      </c>
      <c r="W33" s="68" t="str">
        <f t="shared" si="2"/>
        <v/>
      </c>
      <c r="X33" s="63">
        <f t="shared" si="5"/>
        <v>0</v>
      </c>
      <c r="Y33" s="62">
        <f t="shared" si="6"/>
        <v>0</v>
      </c>
      <c r="Z33" s="62">
        <f t="shared" si="7"/>
        <v>0</v>
      </c>
      <c r="AB33" s="62">
        <f>COUNTIF(AO32:AO35,CONCATENATE("&gt;=",AO33))</f>
        <v>3</v>
      </c>
      <c r="AC33" s="63" t="str">
        <f>INDEX(T,59,lang)</f>
        <v>Ecuador</v>
      </c>
      <c r="AD33" s="62">
        <f>COUNTIF($V$7:$W$54,"=" &amp; AC33 &amp; "_win")</f>
        <v>0</v>
      </c>
      <c r="AE33" s="62">
        <f>COUNTIF($V$7:$W$54,"=" &amp; AC33 &amp; "_draw")</f>
        <v>0</v>
      </c>
      <c r="AF33" s="62">
        <f>COUNTIF($V$7:$W$54,"=" &amp; AC33 &amp; "_lose")</f>
        <v>1</v>
      </c>
      <c r="AG33" s="62">
        <f>SUMIF($E$7:$E$54,$AC33,$F$7:$F$54) + SUMIF($H$7:$H$54,$AC33,$G$7:$G$54)</f>
        <v>1</v>
      </c>
      <c r="AH33" s="62">
        <f>SUMIF($E$7:$E$54,$AC33,$G$7:$G$54) + SUMIF($H$7:$H$54,$AC33,$F$7:$F$54)</f>
        <v>2</v>
      </c>
      <c r="AI33" s="62">
        <f>(AG33-AH33)*100+AL33*10000+AG33</f>
        <v>-99</v>
      </c>
      <c r="AJ33" s="62">
        <f>AG33-AH33</f>
        <v>-1</v>
      </c>
      <c r="AK33" s="62">
        <f>(AJ33-AJ37)/AJ36</f>
        <v>0.2857142857142857</v>
      </c>
      <c r="AL33" s="62">
        <f>AD33*3+AE33</f>
        <v>0</v>
      </c>
      <c r="AM33" s="62">
        <f>AQ33/AQ36*1000+AR33/AR36*100+AU33/AU36*10+AS33/AS36</f>
        <v>0</v>
      </c>
      <c r="AN33" s="62">
        <f>VLOOKUP(AC33,db_fifarank,2,FALSE)/2000000</f>
        <v>3.9500000000000001E-4</v>
      </c>
      <c r="AO33" s="63">
        <f>1000*AL33/AL36+100*AK33+10*AG33/AG36+1*AM33/AM36+AN33</f>
        <v>31.07182357142857</v>
      </c>
      <c r="AP33" s="64" t="str">
        <f>IF(SUM(AD32:AF35)=12,M34,INDEX(T,79,lang))</f>
        <v>2E</v>
      </c>
      <c r="AQ33" s="65">
        <f>SUMPRODUCT(($V$7:$V$54=AC33&amp;"_win")*($X$7:$X$54))+SUMPRODUCT(($W$7:$W$54=AC33&amp;"_win")*($X$7:$X$54))</f>
        <v>0</v>
      </c>
      <c r="AR33" s="66">
        <f>SUMPRODUCT(($V$7:$V$54=AC33&amp;"_draw")*($X$7:$X$54))+SUMPRODUCT(($W$7:$W$54=AC33&amp;"_draw")*($X$7:$X$54))</f>
        <v>0</v>
      </c>
      <c r="AS33" s="66">
        <f>SUMPRODUCT(($E$7:$E$54=AC33)*($X$7:$X$54)*($F$7:$F$54))+SUMPRODUCT(($H$7:$H$54=AC33)*($X$7:$X$54)*($G$7:$G$54))</f>
        <v>0</v>
      </c>
      <c r="AT33" s="66">
        <f>SUMPRODUCT(($E$7:$E$54=AC33)*($X$7:$X$54)*($G$7:$G$54))+SUMPRODUCT(($H$7:$H$54=AC33)*($X$7:$X$54)*($F$7:$F$54))</f>
        <v>0</v>
      </c>
      <c r="AU33" s="66">
        <f>AS33-AT33</f>
        <v>0</v>
      </c>
    </row>
    <row r="34" spans="1:47" x14ac:dyDescent="0.2">
      <c r="A34" s="75">
        <v>28</v>
      </c>
      <c r="B34" s="76" t="str">
        <f t="shared" si="0"/>
        <v>Sab</v>
      </c>
      <c r="C34" s="77" t="str">
        <f t="shared" si="1"/>
        <v>Giu 21, 2014</v>
      </c>
      <c r="D34" s="78">
        <f t="shared" si="3"/>
        <v>0.83333333333333337</v>
      </c>
      <c r="E34" s="79" t="str">
        <f>AC44</f>
        <v>Germania</v>
      </c>
      <c r="F34" s="133"/>
      <c r="G34" s="133"/>
      <c r="H34" s="86" t="str">
        <f>AC46</f>
        <v>Ghana</v>
      </c>
      <c r="I34" s="138" t="str">
        <f>INDEX(T,107,lang)</f>
        <v>Fortaleza</v>
      </c>
      <c r="J34" s="139"/>
      <c r="K34" s="140"/>
      <c r="M34" s="23" t="str">
        <f>VLOOKUP(2,AB32:AL35,2,FALSE)</f>
        <v>Svizzera</v>
      </c>
      <c r="N34" s="29">
        <f>O34+P34+Q34</f>
        <v>1</v>
      </c>
      <c r="O34" s="29">
        <f>VLOOKUP(2,AB32:AL35,3,FALSE)</f>
        <v>1</v>
      </c>
      <c r="P34" s="29">
        <f>VLOOKUP(2,AB32:AL35,4,FALSE)</f>
        <v>0</v>
      </c>
      <c r="Q34" s="29">
        <f>VLOOKUP(2,AB32:AL35,5,FALSE)</f>
        <v>0</v>
      </c>
      <c r="R34" s="29" t="str">
        <f>VLOOKUP(2,AB32:AL35,6,FALSE) &amp; " - " &amp; VLOOKUP(2,AB32:AL35,7,FALSE)</f>
        <v>2 - 1</v>
      </c>
      <c r="S34" s="30">
        <f>O34*3+P34</f>
        <v>3</v>
      </c>
      <c r="U34" s="62">
        <f>DATE(2014,6,21)+TIME(8,0,0)+gmt_delta</f>
        <v>41811.833333333336</v>
      </c>
      <c r="V34" s="68" t="str">
        <f t="shared" si="4"/>
        <v/>
      </c>
      <c r="W34" s="68" t="str">
        <f t="shared" si="2"/>
        <v/>
      </c>
      <c r="X34" s="63">
        <f t="shared" si="5"/>
        <v>0</v>
      </c>
      <c r="Y34" s="62">
        <f t="shared" si="6"/>
        <v>0</v>
      </c>
      <c r="Z34" s="62">
        <f t="shared" si="7"/>
        <v>0</v>
      </c>
      <c r="AB34" s="62">
        <f>COUNTIF(AO32:AO35,CONCATENATE("&gt;=",AO34))</f>
        <v>1</v>
      </c>
      <c r="AC34" s="63" t="str">
        <f>INDEX(T,41,lang)</f>
        <v>Francia</v>
      </c>
      <c r="AD34" s="62">
        <f>COUNTIF($V$7:$W$54,"=" &amp; AC34 &amp; "_win")</f>
        <v>1</v>
      </c>
      <c r="AE34" s="62">
        <f>COUNTIF($V$7:$W$54,"=" &amp; AC34 &amp; "_draw")</f>
        <v>0</v>
      </c>
      <c r="AF34" s="62">
        <f>COUNTIF($V$7:$W$54,"=" &amp; AC34 &amp; "_lose")</f>
        <v>0</v>
      </c>
      <c r="AG34" s="62">
        <f>SUMIF($E$7:$E$54,$AC34,$F$7:$F$54) + SUMIF($H$7:$H$54,$AC34,$G$7:$G$54)</f>
        <v>3</v>
      </c>
      <c r="AH34" s="62">
        <f>SUMIF($E$7:$E$54,$AC34,$G$7:$G$54) + SUMIF($H$7:$H$54,$AC34,$F$7:$F$54)</f>
        <v>0</v>
      </c>
      <c r="AI34" s="62">
        <f>(AG34-AH34)*100+AL34*10000+AG34</f>
        <v>30303</v>
      </c>
      <c r="AJ34" s="62">
        <f>AG34-AH34</f>
        <v>3</v>
      </c>
      <c r="AK34" s="62">
        <f>(AJ34-AJ37)/AJ36</f>
        <v>0.8571428571428571</v>
      </c>
      <c r="AL34" s="62">
        <f>AD34*3+AE34</f>
        <v>3</v>
      </c>
      <c r="AM34" s="62">
        <f>AQ34/AQ36*1000+AR34/AR36*100+AU34/AU36*10+AS34/AS36</f>
        <v>0</v>
      </c>
      <c r="AN34" s="62">
        <f>VLOOKUP(AC34,db_fifarank,2,FALSE)/2000000</f>
        <v>4.6749999999999998E-4</v>
      </c>
      <c r="AO34" s="63">
        <f>1000*AL34/AL36+100*AK34+10*AG34/AG36+1*AM34/AM36+AN34</f>
        <v>843.21475321428568</v>
      </c>
      <c r="AQ34" s="65">
        <f>SUMPRODUCT(($V$7:$V$54=AC34&amp;"_win")*($X$7:$X$54))+SUMPRODUCT(($W$7:$W$54=AC34&amp;"_win")*($X$7:$X$54))</f>
        <v>0</v>
      </c>
      <c r="AR34" s="66">
        <f>SUMPRODUCT(($V$7:$V$54=AC34&amp;"_draw")*($X$7:$X$54))+SUMPRODUCT(($W$7:$W$54=AC34&amp;"_draw")*($X$7:$X$54))</f>
        <v>0</v>
      </c>
      <c r="AS34" s="66">
        <f>SUMPRODUCT(($E$7:$E$54=AC34)*($X$7:$X$54)*($F$7:$F$54))+SUMPRODUCT(($H$7:$H$54=AC34)*($X$7:$X$54)*($G$7:$G$54))</f>
        <v>0</v>
      </c>
      <c r="AT34" s="66">
        <f>SUMPRODUCT(($E$7:$E$54=AC34)*($X$7:$X$54)*($G$7:$G$54))+SUMPRODUCT(($H$7:$H$54=AC34)*($X$7:$X$54)*($F$7:$F$54))</f>
        <v>0</v>
      </c>
      <c r="AU34" s="66">
        <f>AS34-AT34</f>
        <v>0</v>
      </c>
    </row>
    <row r="35" spans="1:47" x14ac:dyDescent="0.2">
      <c r="A35" s="75">
        <v>29</v>
      </c>
      <c r="B35" s="76" t="str">
        <f t="shared" si="0"/>
        <v>Sab</v>
      </c>
      <c r="C35" s="77" t="str">
        <f t="shared" si="1"/>
        <v>Giu 21, 2014</v>
      </c>
      <c r="D35" s="78">
        <f t="shared" si="3"/>
        <v>0.95833333333333337</v>
      </c>
      <c r="E35" s="79" t="str">
        <f>AC41</f>
        <v>Nigeria</v>
      </c>
      <c r="F35" s="133"/>
      <c r="G35" s="133"/>
      <c r="H35" s="86" t="str">
        <f>AC39</f>
        <v>Bosnia - Erzegovina</v>
      </c>
      <c r="I35" s="138" t="str">
        <f>INDEX(T,105,lang)</f>
        <v>Cuiaba</v>
      </c>
      <c r="J35" s="139"/>
      <c r="K35" s="140"/>
      <c r="M35" s="23" t="str">
        <f>VLOOKUP(3,AB32:AL35,2,FALSE)</f>
        <v>Ecuador</v>
      </c>
      <c r="N35" s="29">
        <f>O35+P35+Q35</f>
        <v>1</v>
      </c>
      <c r="O35" s="29">
        <f>VLOOKUP(3,AB32:AL35,3,FALSE)</f>
        <v>0</v>
      </c>
      <c r="P35" s="29">
        <f>VLOOKUP(3,AB32:AL35,4,FALSE)</f>
        <v>0</v>
      </c>
      <c r="Q35" s="29">
        <f>VLOOKUP(3,AB32:AL35,5,FALSE)</f>
        <v>1</v>
      </c>
      <c r="R35" s="29" t="str">
        <f>VLOOKUP(3,AB32:AL35,6,FALSE) &amp; " - " &amp; VLOOKUP(3,AB32:AL35,7,FALSE)</f>
        <v>1 - 2</v>
      </c>
      <c r="S35" s="30">
        <f>O35*3+P35</f>
        <v>0</v>
      </c>
      <c r="U35" s="62">
        <f>DATE(2014,6,21)+TIME(11,0,0)+gmt_delta</f>
        <v>41811.958333333336</v>
      </c>
      <c r="V35" s="68" t="str">
        <f t="shared" si="4"/>
        <v/>
      </c>
      <c r="W35" s="68" t="str">
        <f t="shared" si="2"/>
        <v/>
      </c>
      <c r="X35" s="63">
        <f t="shared" si="5"/>
        <v>0</v>
      </c>
      <c r="Y35" s="62">
        <f t="shared" si="6"/>
        <v>0</v>
      </c>
      <c r="Z35" s="62">
        <f t="shared" si="7"/>
        <v>0</v>
      </c>
      <c r="AB35" s="62">
        <f>COUNTIF(AO32:AO35,CONCATENATE("&gt;=",AO35))</f>
        <v>4</v>
      </c>
      <c r="AC35" s="63" t="str">
        <f>INDEX(T,68,lang)</f>
        <v>Honduras</v>
      </c>
      <c r="AD35" s="62">
        <f>COUNTIF($V$7:$W$54,"=" &amp; AC35 &amp; "_win")</f>
        <v>0</v>
      </c>
      <c r="AE35" s="62">
        <f>COUNTIF($V$7:$W$54,"=" &amp; AC35 &amp; "_draw")</f>
        <v>0</v>
      </c>
      <c r="AF35" s="62">
        <f>COUNTIF($V$7:$W$54,"=" &amp; AC35 &amp; "_lose")</f>
        <v>1</v>
      </c>
      <c r="AG35" s="62">
        <f>SUMIF($E$7:$E$54,$AC35,$F$7:$F$54) + SUMIF($H$7:$H$54,$AC35,$G$7:$G$54)</f>
        <v>0</v>
      </c>
      <c r="AH35" s="62">
        <f>SUMIF($E$7:$E$54,$AC35,$G$7:$G$54) + SUMIF($H$7:$H$54,$AC35,$F$7:$F$54)</f>
        <v>3</v>
      </c>
      <c r="AI35" s="62">
        <f>(AG35-AH35)*100+AL35*10000+AG35</f>
        <v>-300</v>
      </c>
      <c r="AJ35" s="62">
        <f>AG35-AH35</f>
        <v>-3</v>
      </c>
      <c r="AK35" s="62">
        <f>(AJ35-AJ37)/AJ36</f>
        <v>0</v>
      </c>
      <c r="AL35" s="62">
        <f>AD35*3+AE35</f>
        <v>0</v>
      </c>
      <c r="AM35" s="62">
        <f>AQ35/AQ36*1000+AR35/AR36*100+AU35/AU36*10+AS35/AS36</f>
        <v>0</v>
      </c>
      <c r="AN35" s="62">
        <f>VLOOKUP(AC35,db_fifarank,2,FALSE)/2000000</f>
        <v>3.77E-4</v>
      </c>
      <c r="AO35" s="63">
        <f>1000*AL35/AL36+100*AK35+10*AG35/AG36+1*AM35/AM36+AN35</f>
        <v>3.77E-4</v>
      </c>
      <c r="AQ35" s="65">
        <f>SUMPRODUCT(($V$7:$V$54=AC35&amp;"_win")*($X$7:$X$54))+SUMPRODUCT(($W$7:$W$54=AC35&amp;"_win")*($X$7:$X$54))</f>
        <v>0</v>
      </c>
      <c r="AR35" s="66">
        <f>SUMPRODUCT(($V$7:$V$54=AC35&amp;"_draw")*($X$7:$X$54))+SUMPRODUCT(($W$7:$W$54=AC35&amp;"_draw")*($X$7:$X$54))</f>
        <v>0</v>
      </c>
      <c r="AS35" s="66">
        <f>SUMPRODUCT(($E$7:$E$54=AC35)*($X$7:$X$54)*($F$7:$F$54))+SUMPRODUCT(($H$7:$H$54=AC35)*($X$7:$X$54)*($G$7:$G$54))</f>
        <v>0</v>
      </c>
      <c r="AT35" s="66">
        <f>SUMPRODUCT(($E$7:$E$54=AC35)*($X$7:$X$54)*($G$7:$G$54))+SUMPRODUCT(($H$7:$H$54=AC35)*($X$7:$X$54)*($F$7:$F$54))</f>
        <v>0</v>
      </c>
      <c r="AU35" s="66">
        <f>AS35-AT35</f>
        <v>0</v>
      </c>
    </row>
    <row r="36" spans="1:47" x14ac:dyDescent="0.2">
      <c r="A36" s="75">
        <v>30</v>
      </c>
      <c r="B36" s="76" t="str">
        <f t="shared" si="0"/>
        <v>Dom</v>
      </c>
      <c r="C36" s="77" t="str">
        <f t="shared" si="1"/>
        <v>Giu 22, 2014</v>
      </c>
      <c r="D36" s="78">
        <f t="shared" si="3"/>
        <v>0.83333333333333337</v>
      </c>
      <c r="E36" s="79" t="str">
        <f>AC53</f>
        <v>Corea del Sud</v>
      </c>
      <c r="F36" s="133"/>
      <c r="G36" s="133"/>
      <c r="H36" s="86" t="str">
        <f>AC51</f>
        <v>Algeria</v>
      </c>
      <c r="I36" s="138" t="str">
        <f>INDEX(T,110,lang)</f>
        <v>Porto Alegre</v>
      </c>
      <c r="J36" s="139"/>
      <c r="K36" s="140"/>
      <c r="M36" s="24" t="str">
        <f>VLOOKUP(4,AB32:AL35,2,FALSE)</f>
        <v>Honduras</v>
      </c>
      <c r="N36" s="31">
        <f>O36+P36+Q36</f>
        <v>1</v>
      </c>
      <c r="O36" s="31">
        <f>VLOOKUP(4,AB32:AL35,3,FALSE)</f>
        <v>0</v>
      </c>
      <c r="P36" s="31">
        <f>VLOOKUP(4,AB32:AL35,4,FALSE)</f>
        <v>0</v>
      </c>
      <c r="Q36" s="31">
        <f>VLOOKUP(4,AB32:AL35,5,FALSE)</f>
        <v>1</v>
      </c>
      <c r="R36" s="31" t="str">
        <f>VLOOKUP(4,AB32:AL35,6,FALSE) &amp; " - " &amp; VLOOKUP(4,AB32:AL35,7,FALSE)</f>
        <v>0 - 3</v>
      </c>
      <c r="S36" s="32">
        <f>O36*3+P36</f>
        <v>0</v>
      </c>
      <c r="U36" s="62">
        <f>DATE(2014,6,22)+TIME(8,0,0)+gmt_delta</f>
        <v>41812.833333333336</v>
      </c>
      <c r="V36" s="68" t="str">
        <f t="shared" si="4"/>
        <v/>
      </c>
      <c r="W36" s="68" t="str">
        <f t="shared" si="2"/>
        <v/>
      </c>
      <c r="X36" s="63">
        <f t="shared" si="5"/>
        <v>0</v>
      </c>
      <c r="Y36" s="62">
        <f t="shared" si="6"/>
        <v>0</v>
      </c>
      <c r="Z36" s="62">
        <f t="shared" si="7"/>
        <v>0</v>
      </c>
      <c r="AD36" s="62">
        <f t="shared" ref="AD36:AM36" si="12">MAX(AD32:AD35)-MIN(AD32:AD35)+1</f>
        <v>2</v>
      </c>
      <c r="AE36" s="62">
        <f t="shared" si="12"/>
        <v>1</v>
      </c>
      <c r="AF36" s="62">
        <f t="shared" si="12"/>
        <v>2</v>
      </c>
      <c r="AG36" s="62">
        <f t="shared" si="12"/>
        <v>4</v>
      </c>
      <c r="AH36" s="62">
        <f t="shared" si="12"/>
        <v>4</v>
      </c>
      <c r="AI36" s="62">
        <f>MAX(AI32:AI35)-AI37+1</f>
        <v>30604</v>
      </c>
      <c r="AJ36" s="62">
        <f>MAX(AJ32:AJ35)-AJ37+1</f>
        <v>7</v>
      </c>
      <c r="AL36" s="62">
        <f t="shared" si="12"/>
        <v>4</v>
      </c>
      <c r="AM36" s="62">
        <f t="shared" si="12"/>
        <v>1</v>
      </c>
      <c r="AQ36" s="62">
        <f>MAX(AQ32:AQ35)-MIN(AQ32:AQ35)+1</f>
        <v>1</v>
      </c>
      <c r="AR36" s="62">
        <f>MAX(AR32:AR35)-MIN(AR32:AR35)+1</f>
        <v>1</v>
      </c>
      <c r="AS36" s="62">
        <f>MAX(AS32:AS35)-MIN(AS32:AS35)+1</f>
        <v>1</v>
      </c>
      <c r="AT36" s="62">
        <f>MAX(AT32:AT35)-MIN(AT32:AT35)+1</f>
        <v>1</v>
      </c>
      <c r="AU36" s="62">
        <f>MAX(AU32:AU35)-MIN(AU32:AU35)+1</f>
        <v>1</v>
      </c>
    </row>
    <row r="37" spans="1:47" x14ac:dyDescent="0.2">
      <c r="A37" s="75">
        <v>31</v>
      </c>
      <c r="B37" s="76" t="str">
        <f t="shared" si="0"/>
        <v>Dom</v>
      </c>
      <c r="C37" s="77" t="str">
        <f t="shared" si="1"/>
        <v>Giu 22, 2014</v>
      </c>
      <c r="D37" s="78">
        <f t="shared" si="3"/>
        <v>0.95833333333333337</v>
      </c>
      <c r="E37" s="79" t="str">
        <f>AC47</f>
        <v>Stati Uniti d'America</v>
      </c>
      <c r="F37" s="133"/>
      <c r="G37" s="133"/>
      <c r="H37" s="86" t="str">
        <f>AC45</f>
        <v>Portogallo</v>
      </c>
      <c r="I37" s="138" t="str">
        <f>INDEX(T,108,lang)</f>
        <v>Manaus</v>
      </c>
      <c r="J37" s="139"/>
      <c r="K37" s="140"/>
      <c r="U37" s="62">
        <f>DATE(2014,6,22)+TIME(11,0,0)+gmt_delta</f>
        <v>41812.958333333336</v>
      </c>
      <c r="V37" s="68" t="str">
        <f t="shared" si="4"/>
        <v/>
      </c>
      <c r="W37" s="68" t="str">
        <f t="shared" si="2"/>
        <v/>
      </c>
      <c r="X37" s="63">
        <f t="shared" si="5"/>
        <v>0</v>
      </c>
      <c r="Y37" s="62">
        <f t="shared" si="6"/>
        <v>0</v>
      </c>
      <c r="Z37" s="62">
        <f t="shared" si="7"/>
        <v>0</v>
      </c>
      <c r="AI37" s="62">
        <f>MIN(AI32:AI35)</f>
        <v>-300</v>
      </c>
      <c r="AJ37" s="62">
        <f>MIN(AJ32:AJ35)</f>
        <v>-3</v>
      </c>
    </row>
    <row r="38" spans="1:47" x14ac:dyDescent="0.2">
      <c r="A38" s="75">
        <v>32</v>
      </c>
      <c r="B38" s="76" t="str">
        <f t="shared" si="0"/>
        <v>Dom</v>
      </c>
      <c r="C38" s="77" t="str">
        <f t="shared" si="1"/>
        <v>Giu 22, 2014</v>
      </c>
      <c r="D38" s="78">
        <f t="shared" si="3"/>
        <v>0.70833333333333337</v>
      </c>
      <c r="E38" s="79" t="str">
        <f>AC50</f>
        <v>Belgio</v>
      </c>
      <c r="F38" s="133"/>
      <c r="G38" s="133"/>
      <c r="H38" s="86" t="str">
        <f>AC52</f>
        <v>Russia</v>
      </c>
      <c r="I38" s="138" t="str">
        <f>INDEX(T,112,lang)</f>
        <v>Rio De Janeiro</v>
      </c>
      <c r="J38" s="139"/>
      <c r="K38" s="140"/>
      <c r="M38" s="52" t="str">
        <f>INDEX(T,9,lang) &amp; " " &amp; "F"</f>
        <v>Gruppo F</v>
      </c>
      <c r="N38" s="53" t="str">
        <f>INDEX(T,10,lang)</f>
        <v>G</v>
      </c>
      <c r="O38" s="53" t="str">
        <f>INDEX(T,11,lang)</f>
        <v>V</v>
      </c>
      <c r="P38" s="53" t="str">
        <f>INDEX(T,12,lang)</f>
        <v>P</v>
      </c>
      <c r="Q38" s="53" t="str">
        <f>INDEX(T,13,lang)</f>
        <v>S</v>
      </c>
      <c r="R38" s="53" t="str">
        <f>INDEX(T,14,lang)</f>
        <v>GF - GS</v>
      </c>
      <c r="S38" s="53" t="str">
        <f>INDEX(T,15,lang)</f>
        <v>Punti</v>
      </c>
      <c r="U38" s="62">
        <f>DATE(2014,6,22)+TIME(5,0,0)+gmt_delta</f>
        <v>41812.708333333336</v>
      </c>
      <c r="V38" s="68" t="str">
        <f t="shared" si="4"/>
        <v/>
      </c>
      <c r="W38" s="68" t="str">
        <f t="shared" si="2"/>
        <v/>
      </c>
      <c r="X38" s="63">
        <f t="shared" si="5"/>
        <v>0</v>
      </c>
      <c r="Y38" s="62">
        <f t="shared" si="6"/>
        <v>0</v>
      </c>
      <c r="Z38" s="62">
        <f t="shared" si="7"/>
        <v>0</v>
      </c>
      <c r="AB38" s="62">
        <f>COUNTIF(AO38:AO41,CONCATENATE("&gt;=",AO38))</f>
        <v>1</v>
      </c>
      <c r="AC38" s="63" t="str">
        <f>INDEX(T,42,lang)</f>
        <v>Argentina</v>
      </c>
      <c r="AD38" s="62">
        <f>COUNTIF($V$7:$W$54,"=" &amp; AC38 &amp; "_win")</f>
        <v>1</v>
      </c>
      <c r="AE38" s="62">
        <f>COUNTIF($V$7:$W$54,"=" &amp; AC38 &amp; "_draw")</f>
        <v>0</v>
      </c>
      <c r="AF38" s="62">
        <f>COUNTIF($V$7:$W$54,"=" &amp; AC38 &amp; "_lose")</f>
        <v>0</v>
      </c>
      <c r="AG38" s="62">
        <f>SUMIF($E$7:$E$54,$AC38,$F$7:$F$54) + SUMIF($H$7:$H$54,$AC38,$G$7:$G$54)</f>
        <v>2</v>
      </c>
      <c r="AH38" s="62">
        <f>SUMIF($E$7:$E$54,$AC38,$G$7:$G$54) + SUMIF($H$7:$H$54,$AC38,$F$7:$F$54)</f>
        <v>1</v>
      </c>
      <c r="AI38" s="62">
        <f>(AG38-AH38)*100+AL38*10000+AG38</f>
        <v>30102</v>
      </c>
      <c r="AJ38" s="62">
        <f>AG38-AH38</f>
        <v>1</v>
      </c>
      <c r="AK38" s="62">
        <f>(AJ38-AJ43)/AJ42</f>
        <v>0.66666666666666663</v>
      </c>
      <c r="AL38" s="62">
        <f>AD38*3+AE38</f>
        <v>3</v>
      </c>
      <c r="AM38" s="62">
        <f>AQ38/AQ42*1000+AR38/AR42*100+AU38/AU42*10+AS38/AS42</f>
        <v>0</v>
      </c>
      <c r="AN38" s="62">
        <f>VLOOKUP(AC38,db_fifarank,2,FALSE)/2000000</f>
        <v>5.8699999999999996E-4</v>
      </c>
      <c r="AO38" s="63">
        <f>1000*AL38/AL42+100*AK38+10*AG38/AG42+1*AM38/AM42+AN38</f>
        <v>823.33392033333325</v>
      </c>
      <c r="AP38" s="64" t="str">
        <f>IF(SUM(AD38:AF41)=12,M39,INDEX(T,80,lang))</f>
        <v>1F</v>
      </c>
      <c r="AQ38" s="65">
        <f>SUMPRODUCT(($V$7:$V$54=AC38&amp;"_win")*($X$7:$X$54))+SUMPRODUCT(($W$7:$W$54=AC38&amp;"_win")*($X$7:$X$54))</f>
        <v>0</v>
      </c>
      <c r="AR38" s="66">
        <f>SUMPRODUCT(($V$7:$V$54=AC38&amp;"_draw")*($X$7:$X$54))+SUMPRODUCT(($W$7:$W$54=AC38&amp;"_draw")*($X$7:$X$54))</f>
        <v>0</v>
      </c>
      <c r="AS38" s="66">
        <f>SUMPRODUCT(($E$7:$E$54=AC38)*($X$7:$X$54)*($F$7:$F$54))+SUMPRODUCT(($H$7:$H$54=AC38)*($X$7:$X$54)*($G$7:$G$54))</f>
        <v>0</v>
      </c>
      <c r="AT38" s="66">
        <f>SUMPRODUCT(($E$7:$E$54=AC38)*($X$7:$X$54)*($G$7:$G$54))+SUMPRODUCT(($H$7:$H$54=AC38)*($X$7:$X$54)*($F$7:$F$54))</f>
        <v>0</v>
      </c>
      <c r="AU38" s="66">
        <f>AS38-AT38</f>
        <v>0</v>
      </c>
    </row>
    <row r="39" spans="1:47" x14ac:dyDescent="0.2">
      <c r="A39" s="75">
        <v>33</v>
      </c>
      <c r="B39" s="76" t="str">
        <f t="shared" si="0"/>
        <v>Lun</v>
      </c>
      <c r="C39" s="77" t="str">
        <f t="shared" si="1"/>
        <v>Giu 23, 2014</v>
      </c>
      <c r="D39" s="78">
        <f t="shared" si="3"/>
        <v>0.70833333333333337</v>
      </c>
      <c r="E39" s="79" t="str">
        <f>AC17</f>
        <v>Australia</v>
      </c>
      <c r="F39" s="133"/>
      <c r="G39" s="133"/>
      <c r="H39" s="86" t="str">
        <f>AC14</f>
        <v>Spagna</v>
      </c>
      <c r="I39" s="138" t="str">
        <f>INDEX(T,106,lang)</f>
        <v>Curitiba</v>
      </c>
      <c r="J39" s="139"/>
      <c r="K39" s="140"/>
      <c r="M39" s="22" t="str">
        <f>VLOOKUP(1,AB38:AL41,2,FALSE)</f>
        <v>Argentina</v>
      </c>
      <c r="N39" s="27">
        <f>O39+P39+Q39</f>
        <v>1</v>
      </c>
      <c r="O39" s="27">
        <f>VLOOKUP(1,AB38:AL41,3,FALSE)</f>
        <v>1</v>
      </c>
      <c r="P39" s="27">
        <f>VLOOKUP(1,AB38:AL41,4,FALSE)</f>
        <v>0</v>
      </c>
      <c r="Q39" s="27">
        <f>VLOOKUP(1,AB38:AL41,5,FALSE)</f>
        <v>0</v>
      </c>
      <c r="R39" s="27" t="str">
        <f>VLOOKUP(1,AB38:AL41,6,FALSE) &amp; " - " &amp; VLOOKUP(1,AB38:AL41,7,FALSE)</f>
        <v>2 - 1</v>
      </c>
      <c r="S39" s="28">
        <f>O39*3+P39</f>
        <v>3</v>
      </c>
      <c r="U39" s="62">
        <f>DATE(2014,6,23)+TIME(5,0,0)+gmt_delta</f>
        <v>41813.708333333336</v>
      </c>
      <c r="V39" s="68" t="str">
        <f t="shared" si="4"/>
        <v/>
      </c>
      <c r="W39" s="68" t="str">
        <f t="shared" si="2"/>
        <v/>
      </c>
      <c r="X39" s="63">
        <f t="shared" si="5"/>
        <v>0</v>
      </c>
      <c r="Y39" s="62">
        <f t="shared" si="6"/>
        <v>0</v>
      </c>
      <c r="Z39" s="62">
        <f t="shared" si="7"/>
        <v>0</v>
      </c>
      <c r="AB39" s="62">
        <f>COUNTIF(AO38:AO41,CONCATENATE("&gt;=",AO39))</f>
        <v>4</v>
      </c>
      <c r="AC39" s="63" t="str">
        <f>INDEX(T,60,lang)</f>
        <v>Bosnia - Erzegovina</v>
      </c>
      <c r="AD39" s="62">
        <f>COUNTIF($V$7:$W$54,"=" &amp; AC39 &amp; "_win")</f>
        <v>0</v>
      </c>
      <c r="AE39" s="62">
        <f>COUNTIF($V$7:$W$54,"=" &amp; AC39 &amp; "_draw")</f>
        <v>0</v>
      </c>
      <c r="AF39" s="62">
        <f>COUNTIF($V$7:$W$54,"=" &amp; AC39 &amp; "_lose")</f>
        <v>1</v>
      </c>
      <c r="AG39" s="62">
        <f>SUMIF($E$7:$E$54,$AC39,$F$7:$F$54) + SUMIF($H$7:$H$54,$AC39,$G$7:$G$54)</f>
        <v>1</v>
      </c>
      <c r="AH39" s="62">
        <f>SUMIF($E$7:$E$54,$AC39,$G$7:$G$54) + SUMIF($H$7:$H$54,$AC39,$F$7:$F$54)</f>
        <v>2</v>
      </c>
      <c r="AI39" s="62">
        <f>(AG39-AH39)*100+AL39*10000+AG39</f>
        <v>-99</v>
      </c>
      <c r="AJ39" s="62">
        <f>AG39-AH39</f>
        <v>-1</v>
      </c>
      <c r="AK39" s="62">
        <f>(AJ39-AJ43)/AJ42</f>
        <v>0</v>
      </c>
      <c r="AL39" s="62">
        <f>AD39*3+AE39</f>
        <v>0</v>
      </c>
      <c r="AM39" s="62">
        <f>AQ39/AQ42*1000+AR39/AR42*100+AU39/AU42*10+AS39/AS42</f>
        <v>0</v>
      </c>
      <c r="AN39" s="62">
        <f>VLOOKUP(AC39,db_fifarank,2,FALSE)/2000000</f>
        <v>3.9750000000000001E-4</v>
      </c>
      <c r="AO39" s="63">
        <f>1000*AL39/AL42+100*AK39+10*AG39/AG42+1*AM39/AM42+AN39</f>
        <v>3.3337308333333335</v>
      </c>
      <c r="AP39" s="64" t="str">
        <f>IF(SUM(AD38:AF41)=12,M40,INDEX(T,81,lang))</f>
        <v>2F</v>
      </c>
      <c r="AQ39" s="65">
        <f>SUMPRODUCT(($V$7:$V$54=AC39&amp;"_win")*($X$7:$X$54))+SUMPRODUCT(($W$7:$W$54=AC39&amp;"_win")*($X$7:$X$54))</f>
        <v>0</v>
      </c>
      <c r="AR39" s="66">
        <f>SUMPRODUCT(($V$7:$V$54=AC39&amp;"_draw")*($X$7:$X$54))+SUMPRODUCT(($W$7:$W$54=AC39&amp;"_draw")*($X$7:$X$54))</f>
        <v>0</v>
      </c>
      <c r="AS39" s="66">
        <f>SUMPRODUCT(($E$7:$E$54=AC39)*($X$7:$X$54)*($F$7:$F$54))+SUMPRODUCT(($H$7:$H$54=AC39)*($X$7:$X$54)*($G$7:$G$54))</f>
        <v>0</v>
      </c>
      <c r="AT39" s="66">
        <f>SUMPRODUCT(($E$7:$E$54=AC39)*($X$7:$X$54)*($G$7:$G$54))+SUMPRODUCT(($H$7:$H$54=AC39)*($X$7:$X$54)*($F$7:$F$54))</f>
        <v>0</v>
      </c>
      <c r="AU39" s="66">
        <f>AS39-AT39</f>
        <v>0</v>
      </c>
    </row>
    <row r="40" spans="1:47" x14ac:dyDescent="0.2">
      <c r="A40" s="75">
        <v>34</v>
      </c>
      <c r="B40" s="76" t="str">
        <f t="shared" si="0"/>
        <v>Lun</v>
      </c>
      <c r="C40" s="77" t="str">
        <f t="shared" si="1"/>
        <v>Giu 23, 2014</v>
      </c>
      <c r="D40" s="78">
        <f t="shared" si="3"/>
        <v>0.70833333333333337</v>
      </c>
      <c r="E40" s="79" t="str">
        <f>AC15</f>
        <v>Paesi Bassi</v>
      </c>
      <c r="F40" s="133"/>
      <c r="G40" s="133"/>
      <c r="H40" s="86" t="str">
        <f>AC16</f>
        <v>Cile</v>
      </c>
      <c r="I40" s="138" t="str">
        <f>INDEX(T,114,lang)</f>
        <v>Sao Paulo</v>
      </c>
      <c r="J40" s="139"/>
      <c r="K40" s="140"/>
      <c r="M40" s="23" t="str">
        <f>VLOOKUP(2,AB38:AL41,2,FALSE)</f>
        <v>Iran</v>
      </c>
      <c r="N40" s="29">
        <f>O40+P40+Q40</f>
        <v>1</v>
      </c>
      <c r="O40" s="29">
        <f>VLOOKUP(2,AB38:AL41,3,FALSE)</f>
        <v>0</v>
      </c>
      <c r="P40" s="29">
        <f>VLOOKUP(2,AB38:AL41,4,FALSE)</f>
        <v>1</v>
      </c>
      <c r="Q40" s="29">
        <f>VLOOKUP(2,AB38:AL41,5,FALSE)</f>
        <v>0</v>
      </c>
      <c r="R40" s="29" t="str">
        <f>VLOOKUP(2,AB38:AL41,6,FALSE) &amp; " - " &amp; VLOOKUP(2,AB38:AL41,7,FALSE)</f>
        <v>0 - 0</v>
      </c>
      <c r="S40" s="30">
        <f>O40*3+P40</f>
        <v>1</v>
      </c>
      <c r="U40" s="62">
        <f>DATE(2014,6,23)+TIME(5,0,0)+gmt_delta</f>
        <v>41813.708333333336</v>
      </c>
      <c r="V40" s="68" t="str">
        <f t="shared" si="4"/>
        <v/>
      </c>
      <c r="W40" s="68" t="str">
        <f t="shared" si="2"/>
        <v/>
      </c>
      <c r="X40" s="63">
        <f t="shared" si="5"/>
        <v>0</v>
      </c>
      <c r="Y40" s="62">
        <f t="shared" si="6"/>
        <v>0</v>
      </c>
      <c r="Z40" s="62">
        <f t="shared" si="7"/>
        <v>0</v>
      </c>
      <c r="AB40" s="62">
        <f>COUNTIF(AO38:AO41,CONCATENATE("&gt;=",AO40))</f>
        <v>2</v>
      </c>
      <c r="AC40" s="63" t="str">
        <f>INDEX(T,61,lang)</f>
        <v>Iran</v>
      </c>
      <c r="AD40" s="62">
        <f>COUNTIF($V$7:$W$54,"=" &amp; AC40 &amp; "_win")</f>
        <v>0</v>
      </c>
      <c r="AE40" s="62">
        <f>COUNTIF($V$7:$W$54,"=" &amp; AC40 &amp; "_draw")</f>
        <v>1</v>
      </c>
      <c r="AF40" s="62">
        <f>COUNTIF($V$7:$W$54,"=" &amp; AC40 &amp; "_lose")</f>
        <v>0</v>
      </c>
      <c r="AG40" s="62">
        <f>SUMIF($E$7:$E$54,$AC40,$F$7:$F$54) + SUMIF($H$7:$H$54,$AC40,$G$7:$G$54)</f>
        <v>0</v>
      </c>
      <c r="AH40" s="62">
        <f>SUMIF($E$7:$E$54,$AC40,$G$7:$G$54) + SUMIF($H$7:$H$54,$AC40,$F$7:$F$54)</f>
        <v>0</v>
      </c>
      <c r="AI40" s="62">
        <f>(AG40-AH40)*100+AL40*10000+AG40</f>
        <v>10000</v>
      </c>
      <c r="AJ40" s="62">
        <f>AG40-AH40</f>
        <v>0</v>
      </c>
      <c r="AK40" s="62">
        <f>(AJ40-AJ43)/AJ42</f>
        <v>0.33333333333333331</v>
      </c>
      <c r="AL40" s="62">
        <f>AD40*3+AE40</f>
        <v>1</v>
      </c>
      <c r="AM40" s="62">
        <f>AQ40/AQ42*1000+AR40/AR42*100+AU40/AU42*10+AS40/AS42</f>
        <v>50</v>
      </c>
      <c r="AN40" s="62">
        <f>VLOOKUP(AC40,db_fifarank,2,FALSE)/2000000</f>
        <v>3.5750000000000002E-4</v>
      </c>
      <c r="AO40" s="63">
        <f>1000*AL40/AL42+100*AK40+10*AG40/AG42+1*AM40/AM42+AN40</f>
        <v>284.31408299019608</v>
      </c>
      <c r="AQ40" s="65">
        <f>SUMPRODUCT(($V$7:$V$54=AC40&amp;"_win")*($X$7:$X$54))+SUMPRODUCT(($W$7:$W$54=AC40&amp;"_win")*($X$7:$X$54))</f>
        <v>0</v>
      </c>
      <c r="AR40" s="66">
        <f>SUMPRODUCT(($V$7:$V$54=AC40&amp;"_draw")*($X$7:$X$54))+SUMPRODUCT(($W$7:$W$54=AC40&amp;"_draw")*($X$7:$X$54))</f>
        <v>1</v>
      </c>
      <c r="AS40" s="66">
        <f>SUMPRODUCT(($E$7:$E$54=AC40)*($X$7:$X$54)*($F$7:$F$54))+SUMPRODUCT(($H$7:$H$54=AC40)*($X$7:$X$54)*($G$7:$G$54))</f>
        <v>0</v>
      </c>
      <c r="AT40" s="66">
        <f>SUMPRODUCT(($E$7:$E$54=AC40)*($X$7:$X$54)*($G$7:$G$54))+SUMPRODUCT(($H$7:$H$54=AC40)*($X$7:$X$54)*($F$7:$F$54))</f>
        <v>0</v>
      </c>
      <c r="AU40" s="66">
        <f>AS40-AT40</f>
        <v>0</v>
      </c>
    </row>
    <row r="41" spans="1:47" x14ac:dyDescent="0.2">
      <c r="A41" s="75">
        <v>35</v>
      </c>
      <c r="B41" s="76" t="str">
        <f t="shared" si="0"/>
        <v>Lun</v>
      </c>
      <c r="C41" s="77" t="str">
        <f t="shared" si="1"/>
        <v>Giu 23, 2014</v>
      </c>
      <c r="D41" s="78">
        <f t="shared" si="3"/>
        <v>0.875</v>
      </c>
      <c r="E41" s="79" t="str">
        <f>AC11</f>
        <v>Camerun</v>
      </c>
      <c r="F41" s="133"/>
      <c r="G41" s="133"/>
      <c r="H41" s="86" t="str">
        <f>AC8</f>
        <v>Brasile</v>
      </c>
      <c r="I41" s="138" t="str">
        <f>INDEX(T,104,lang)</f>
        <v>Brasilia</v>
      </c>
      <c r="J41" s="139"/>
      <c r="K41" s="140"/>
      <c r="M41" s="23" t="str">
        <f>VLOOKUP(3,AB38:AL41,2,FALSE)</f>
        <v>Nigeria</v>
      </c>
      <c r="N41" s="29">
        <f>O41+P41+Q41</f>
        <v>1</v>
      </c>
      <c r="O41" s="29">
        <f>VLOOKUP(3,AB38:AL41,3,FALSE)</f>
        <v>0</v>
      </c>
      <c r="P41" s="29">
        <f>VLOOKUP(3,AB38:AL41,4,FALSE)</f>
        <v>1</v>
      </c>
      <c r="Q41" s="29">
        <f>VLOOKUP(3,AB38:AL41,5,FALSE)</f>
        <v>0</v>
      </c>
      <c r="R41" s="29" t="str">
        <f>VLOOKUP(3,AB38:AL41,6,FALSE) &amp; " - " &amp; VLOOKUP(3,AB38:AL41,7,FALSE)</f>
        <v>0 - 0</v>
      </c>
      <c r="S41" s="30">
        <f>O41*3+P41</f>
        <v>1</v>
      </c>
      <c r="U41" s="62">
        <f>DATE(2014,6,23)+TIME(9,0,0)+gmt_delta</f>
        <v>41813.875</v>
      </c>
      <c r="V41" s="68" t="str">
        <f t="shared" si="4"/>
        <v/>
      </c>
      <c r="W41" s="68" t="str">
        <f t="shared" si="2"/>
        <v/>
      </c>
      <c r="X41" s="63">
        <f t="shared" si="5"/>
        <v>0</v>
      </c>
      <c r="Y41" s="62">
        <f t="shared" si="6"/>
        <v>0</v>
      </c>
      <c r="Z41" s="62">
        <f t="shared" si="7"/>
        <v>0</v>
      </c>
      <c r="AB41" s="62">
        <f>COUNTIF(AO38:AO41,CONCATENATE("&gt;=",AO41))</f>
        <v>3</v>
      </c>
      <c r="AC41" s="63" t="str">
        <f>INDEX(T,43,lang)</f>
        <v>Nigeria</v>
      </c>
      <c r="AD41" s="62">
        <f>COUNTIF($V$7:$W$54,"=" &amp; AC41 &amp; "_win")</f>
        <v>0</v>
      </c>
      <c r="AE41" s="62">
        <f>COUNTIF($V$7:$W$54,"=" &amp; AC41 &amp; "_draw")</f>
        <v>1</v>
      </c>
      <c r="AF41" s="62">
        <f>COUNTIF($V$7:$W$54,"=" &amp; AC41 &amp; "_lose")</f>
        <v>0</v>
      </c>
      <c r="AG41" s="62">
        <f>SUMIF($E$7:$E$54,$AC41,$F$7:$F$54) + SUMIF($H$7:$H$54,$AC41,$G$7:$G$54)</f>
        <v>0</v>
      </c>
      <c r="AH41" s="62">
        <f>SUMIF($E$7:$E$54,$AC41,$G$7:$G$54) + SUMIF($H$7:$H$54,$AC41,$F$7:$F$54)</f>
        <v>0</v>
      </c>
      <c r="AI41" s="62">
        <f>(AG41-AH41)*100+AL41*10000+AG41</f>
        <v>10000</v>
      </c>
      <c r="AJ41" s="62">
        <f>AG41-AH41</f>
        <v>0</v>
      </c>
      <c r="AK41" s="62">
        <f>(AJ41-AJ43)/AJ42</f>
        <v>0.33333333333333331</v>
      </c>
      <c r="AL41" s="62">
        <f>AD41*3+AE41</f>
        <v>1</v>
      </c>
      <c r="AM41" s="62">
        <f>AQ41/AQ42*1000+AR41/AR42*100+AU41/AU42*10+AS41/AS42</f>
        <v>50</v>
      </c>
      <c r="AN41" s="62">
        <f>VLOOKUP(AC41,db_fifarank,2,FALSE)/2000000</f>
        <v>3.1E-4</v>
      </c>
      <c r="AO41" s="63">
        <f>1000*AL41/AL42+100*AK41+10*AG41/AG42+1*AM41/AM42+AN41</f>
        <v>284.31403549019609</v>
      </c>
      <c r="AQ41" s="65">
        <f>SUMPRODUCT(($V$7:$V$54=AC41&amp;"_win")*($X$7:$X$54))+SUMPRODUCT(($W$7:$W$54=AC41&amp;"_win")*($X$7:$X$54))</f>
        <v>0</v>
      </c>
      <c r="AR41" s="66">
        <f>SUMPRODUCT(($V$7:$V$54=AC41&amp;"_draw")*($X$7:$X$54))+SUMPRODUCT(($W$7:$W$54=AC41&amp;"_draw")*($X$7:$X$54))</f>
        <v>1</v>
      </c>
      <c r="AS41" s="66">
        <f>SUMPRODUCT(($E$7:$E$54=AC41)*($X$7:$X$54)*($F$7:$F$54))+SUMPRODUCT(($H$7:$H$54=AC41)*($X$7:$X$54)*($G$7:$G$54))</f>
        <v>0</v>
      </c>
      <c r="AT41" s="66">
        <f>SUMPRODUCT(($E$7:$E$54=AC41)*($X$7:$X$54)*($G$7:$G$54))+SUMPRODUCT(($H$7:$H$54=AC41)*($X$7:$X$54)*($F$7:$F$54))</f>
        <v>0</v>
      </c>
      <c r="AU41" s="66">
        <f>AS41-AT41</f>
        <v>0</v>
      </c>
    </row>
    <row r="42" spans="1:47" x14ac:dyDescent="0.2">
      <c r="A42" s="75">
        <v>36</v>
      </c>
      <c r="B42" s="76" t="str">
        <f t="shared" si="0"/>
        <v>Lun</v>
      </c>
      <c r="C42" s="77" t="str">
        <f t="shared" si="1"/>
        <v>Giu 23, 2014</v>
      </c>
      <c r="D42" s="78">
        <f t="shared" si="3"/>
        <v>0.875</v>
      </c>
      <c r="E42" s="79" t="str">
        <f>AC9</f>
        <v>Croazia</v>
      </c>
      <c r="F42" s="133"/>
      <c r="G42" s="133"/>
      <c r="H42" s="86" t="str">
        <f>AC10</f>
        <v>Messico</v>
      </c>
      <c r="I42" s="138" t="str">
        <f>INDEX(T,111,lang)</f>
        <v>Recife</v>
      </c>
      <c r="J42" s="139"/>
      <c r="K42" s="140"/>
      <c r="M42" s="24" t="str">
        <f>VLOOKUP(4,AB38:AL41,2,FALSE)</f>
        <v>Bosnia - Erzegovina</v>
      </c>
      <c r="N42" s="31">
        <f>O42+P42+Q42</f>
        <v>1</v>
      </c>
      <c r="O42" s="31">
        <f>VLOOKUP(4,AB38:AL41,3,FALSE)</f>
        <v>0</v>
      </c>
      <c r="P42" s="31">
        <f>VLOOKUP(4,AB38:AL41,4,FALSE)</f>
        <v>0</v>
      </c>
      <c r="Q42" s="31">
        <f>VLOOKUP(4,AB38:AL41,5,FALSE)</f>
        <v>1</v>
      </c>
      <c r="R42" s="31" t="str">
        <f>VLOOKUP(4,AB38:AL41,6,FALSE) &amp; " - " &amp; VLOOKUP(4,AB38:AL41,7,FALSE)</f>
        <v>1 - 2</v>
      </c>
      <c r="S42" s="32">
        <f>O42*3+P42</f>
        <v>0</v>
      </c>
      <c r="U42" s="62">
        <f>DATE(2014,6,23)+TIME(9,0,0)+gmt_delta</f>
        <v>41813.875</v>
      </c>
      <c r="V42" s="68" t="str">
        <f t="shared" si="4"/>
        <v/>
      </c>
      <c r="W42" s="68" t="str">
        <f t="shared" si="2"/>
        <v/>
      </c>
      <c r="X42" s="63">
        <f t="shared" si="5"/>
        <v>0</v>
      </c>
      <c r="Y42" s="62">
        <f t="shared" si="6"/>
        <v>0</v>
      </c>
      <c r="Z42" s="62">
        <f t="shared" si="7"/>
        <v>0</v>
      </c>
      <c r="AD42" s="62">
        <f t="shared" ref="AD42:AM42" si="13">MAX(AD38:AD41)-MIN(AD38:AD41)+1</f>
        <v>2</v>
      </c>
      <c r="AE42" s="62">
        <f t="shared" si="13"/>
        <v>2</v>
      </c>
      <c r="AF42" s="62">
        <f t="shared" si="13"/>
        <v>2</v>
      </c>
      <c r="AG42" s="62">
        <f t="shared" si="13"/>
        <v>3</v>
      </c>
      <c r="AH42" s="62">
        <f t="shared" si="13"/>
        <v>3</v>
      </c>
      <c r="AI42" s="62">
        <f>MAX(AI38:AI41)-AI43+1</f>
        <v>30202</v>
      </c>
      <c r="AJ42" s="62">
        <f>MAX(AJ38:AJ41)-AJ43+1</f>
        <v>3</v>
      </c>
      <c r="AL42" s="62">
        <f t="shared" si="13"/>
        <v>4</v>
      </c>
      <c r="AM42" s="62">
        <f t="shared" si="13"/>
        <v>51</v>
      </c>
      <c r="AQ42" s="62">
        <f>MAX(AQ38:AQ41)-MIN(AQ38:AQ41)+1</f>
        <v>1</v>
      </c>
      <c r="AR42" s="62">
        <f>MAX(AR38:AR41)-MIN(AR38:AR41)+1</f>
        <v>2</v>
      </c>
      <c r="AS42" s="62">
        <f>MAX(AS38:AS41)-MIN(AS38:AS41)+1</f>
        <v>1</v>
      </c>
      <c r="AT42" s="62">
        <f>MAX(AT38:AT41)-MIN(AT38:AT41)+1</f>
        <v>1</v>
      </c>
      <c r="AU42" s="62">
        <f>MAX(AU38:AU41)-MIN(AU38:AU41)+1</f>
        <v>1</v>
      </c>
    </row>
    <row r="43" spans="1:47" x14ac:dyDescent="0.2">
      <c r="A43" s="75">
        <v>37</v>
      </c>
      <c r="B43" s="76" t="str">
        <f t="shared" si="0"/>
        <v>Mar</v>
      </c>
      <c r="C43" s="77" t="str">
        <f t="shared" si="1"/>
        <v>Giu 24, 2014</v>
      </c>
      <c r="D43" s="78">
        <f t="shared" si="3"/>
        <v>0.70833333333333337</v>
      </c>
      <c r="E43" s="79" t="str">
        <f>AC29</f>
        <v>Italia</v>
      </c>
      <c r="F43" s="133"/>
      <c r="G43" s="133"/>
      <c r="H43" s="86" t="str">
        <f>AC26</f>
        <v>Uruguay</v>
      </c>
      <c r="I43" s="138" t="str">
        <f>INDEX(T,109,lang)</f>
        <v>natale</v>
      </c>
      <c r="J43" s="139"/>
      <c r="K43" s="140"/>
      <c r="U43" s="62">
        <f>DATE(2014,6,24)+TIME(5,0,0)+gmt_delta</f>
        <v>41814.708333333336</v>
      </c>
      <c r="V43" s="68" t="str">
        <f t="shared" si="4"/>
        <v/>
      </c>
      <c r="W43" s="68" t="str">
        <f t="shared" si="2"/>
        <v/>
      </c>
      <c r="X43" s="63">
        <f t="shared" si="5"/>
        <v>0</v>
      </c>
      <c r="Y43" s="62">
        <f t="shared" si="6"/>
        <v>0</v>
      </c>
      <c r="Z43" s="62">
        <f t="shared" si="7"/>
        <v>0</v>
      </c>
      <c r="AI43" s="62">
        <f>MIN(AI38:AI41)</f>
        <v>-99</v>
      </c>
      <c r="AJ43" s="62">
        <f>MIN(AJ38:AJ41)</f>
        <v>-1</v>
      </c>
    </row>
    <row r="44" spans="1:47" x14ac:dyDescent="0.2">
      <c r="A44" s="75">
        <v>38</v>
      </c>
      <c r="B44" s="76" t="str">
        <f t="shared" si="0"/>
        <v>Mar</v>
      </c>
      <c r="C44" s="77" t="str">
        <f t="shared" si="1"/>
        <v>Giu 24, 2014</v>
      </c>
      <c r="D44" s="78">
        <f t="shared" si="3"/>
        <v>0.70833333333333337</v>
      </c>
      <c r="E44" s="79" t="str">
        <f>AC27</f>
        <v>Costarica</v>
      </c>
      <c r="F44" s="133"/>
      <c r="G44" s="133"/>
      <c r="H44" s="86" t="str">
        <f>AC28</f>
        <v>Inghilterra</v>
      </c>
      <c r="I44" s="138" t="str">
        <f>INDEX(T,103,lang)</f>
        <v>Belo Horizonte</v>
      </c>
      <c r="J44" s="139"/>
      <c r="K44" s="140"/>
      <c r="M44" s="52" t="str">
        <f>INDEX(T,9,lang) &amp; " " &amp; "G"</f>
        <v>Gruppo G</v>
      </c>
      <c r="N44" s="53" t="str">
        <f>INDEX(T,10,lang)</f>
        <v>G</v>
      </c>
      <c r="O44" s="53" t="str">
        <f>INDEX(T,11,lang)</f>
        <v>V</v>
      </c>
      <c r="P44" s="53" t="str">
        <f>INDEX(T,12,lang)</f>
        <v>P</v>
      </c>
      <c r="Q44" s="53" t="str">
        <f>INDEX(T,13,lang)</f>
        <v>S</v>
      </c>
      <c r="R44" s="53" t="str">
        <f>INDEX(T,14,lang)</f>
        <v>GF - GS</v>
      </c>
      <c r="S44" s="53" t="str">
        <f>INDEX(T,15,lang)</f>
        <v>Punti</v>
      </c>
      <c r="U44" s="62">
        <f>DATE(2014,6,24)+TIME(5,0,0)+gmt_delta</f>
        <v>41814.708333333336</v>
      </c>
      <c r="V44" s="68" t="str">
        <f t="shared" si="4"/>
        <v/>
      </c>
      <c r="W44" s="68" t="str">
        <f t="shared" si="2"/>
        <v/>
      </c>
      <c r="X44" s="63">
        <f t="shared" si="5"/>
        <v>0</v>
      </c>
      <c r="Y44" s="62">
        <f t="shared" si="6"/>
        <v>0</v>
      </c>
      <c r="Z44" s="62">
        <f t="shared" si="7"/>
        <v>0</v>
      </c>
      <c r="AB44" s="62">
        <f>COUNTIF(AO44:AO47,CONCATENATE("&gt;=",AO44))</f>
        <v>1</v>
      </c>
      <c r="AC44" s="63" t="str">
        <f>INDEX(T,50,lang)</f>
        <v>Germania</v>
      </c>
      <c r="AD44" s="62">
        <f>COUNTIF($V$7:$W$54,"=" &amp; AC44 &amp; "_win")</f>
        <v>1</v>
      </c>
      <c r="AE44" s="62">
        <f>COUNTIF($V$7:$W$54,"=" &amp; AC44 &amp; "_draw")</f>
        <v>0</v>
      </c>
      <c r="AF44" s="62">
        <f>COUNTIF($V$7:$W$54,"=" &amp; AC44 &amp; "_lose")</f>
        <v>0</v>
      </c>
      <c r="AG44" s="62">
        <f>SUMIF($E$7:$E$54,$AC44,$F$7:$F$54) + SUMIF($H$7:$H$54,$AC44,$G$7:$G$54)</f>
        <v>4</v>
      </c>
      <c r="AH44" s="62">
        <f>SUMIF($E$7:$E$54,$AC44,$G$7:$G$54) + SUMIF($H$7:$H$54,$AC44,$F$7:$F$54)</f>
        <v>0</v>
      </c>
      <c r="AI44" s="62">
        <f>(AG44-AH44)*100+AL44*10000+AG44</f>
        <v>30404</v>
      </c>
      <c r="AJ44" s="62">
        <f>AG44-AH44</f>
        <v>4</v>
      </c>
      <c r="AK44" s="62">
        <f>(AJ44-AJ49)/AJ48</f>
        <v>0.88888888888888884</v>
      </c>
      <c r="AL44" s="62">
        <f>AD44*3+AE44</f>
        <v>3</v>
      </c>
      <c r="AM44" s="62">
        <f>AQ44/AQ48*1000+AR44/AR48*100+AU44/AU48*10+AS44/AS48</f>
        <v>0</v>
      </c>
      <c r="AN44" s="62">
        <f>VLOOKUP(AC44,db_fifarank,2,FALSE)/2000000</f>
        <v>6.7000000000000002E-4</v>
      </c>
      <c r="AO44" s="63">
        <f>1000*AL44/AL48+100*AK44+10*AG44/AG48+1*AM44/AM48+AN44</f>
        <v>846.88955888888893</v>
      </c>
      <c r="AP44" s="64" t="str">
        <f>IF(SUM(AD44:AF47)=12,M45,INDEX(T,82,lang))</f>
        <v>1G</v>
      </c>
      <c r="AQ44" s="65">
        <f>SUMPRODUCT(($V$7:$V$54=AC44&amp;"_win")*($X$7:$X$54))+SUMPRODUCT(($W$7:$W$54=AC44&amp;"_win")*($X$7:$X$54))</f>
        <v>0</v>
      </c>
      <c r="AR44" s="66">
        <f>SUMPRODUCT(($V$7:$V$54=AC44&amp;"_draw")*($X$7:$X$54))+SUMPRODUCT(($W$7:$W$54=AC44&amp;"_draw")*($X$7:$X$54))</f>
        <v>0</v>
      </c>
      <c r="AS44" s="66">
        <f>SUMPRODUCT(($E$7:$E$54=AC44)*($X$7:$X$54)*($F$7:$F$54))+SUMPRODUCT(($H$7:$H$54=AC44)*($X$7:$X$54)*($G$7:$G$54))</f>
        <v>0</v>
      </c>
      <c r="AT44" s="66">
        <f>SUMPRODUCT(($E$7:$E$54=AC44)*($X$7:$X$54)*($G$7:$G$54))+SUMPRODUCT(($H$7:$H$54=AC44)*($X$7:$X$54)*($F$7:$F$54))</f>
        <v>0</v>
      </c>
      <c r="AU44" s="66">
        <f>AS44-AT44</f>
        <v>0</v>
      </c>
    </row>
    <row r="45" spans="1:47" x14ac:dyDescent="0.2">
      <c r="A45" s="75">
        <v>39</v>
      </c>
      <c r="B45" s="76" t="str">
        <f t="shared" si="0"/>
        <v>Mar</v>
      </c>
      <c r="C45" s="77" t="str">
        <f t="shared" si="1"/>
        <v>Giu 24, 2014</v>
      </c>
      <c r="D45" s="78">
        <f t="shared" si="3"/>
        <v>0.875</v>
      </c>
      <c r="E45" s="79" t="str">
        <f>AC23</f>
        <v>Giappone</v>
      </c>
      <c r="F45" s="133"/>
      <c r="G45" s="133"/>
      <c r="H45" s="86" t="str">
        <f>AC20</f>
        <v>Colombia</v>
      </c>
      <c r="I45" s="138" t="str">
        <f>INDEX(T,105,lang)</f>
        <v>Cuiaba</v>
      </c>
      <c r="J45" s="139"/>
      <c r="K45" s="140"/>
      <c r="M45" s="22" t="str">
        <f>VLOOKUP(1,AB44:AL47,2,FALSE)</f>
        <v>Germania</v>
      </c>
      <c r="N45" s="27">
        <f>O45+P45+Q45</f>
        <v>1</v>
      </c>
      <c r="O45" s="27">
        <f>VLOOKUP(1,AB44:AL47,3,FALSE)</f>
        <v>1</v>
      </c>
      <c r="P45" s="27">
        <f>VLOOKUP(1,AB44:AL47,4,FALSE)</f>
        <v>0</v>
      </c>
      <c r="Q45" s="27">
        <f>VLOOKUP(1,AB44:AL47,5,FALSE)</f>
        <v>0</v>
      </c>
      <c r="R45" s="27" t="str">
        <f>VLOOKUP(1,AB44:AL47,6,FALSE) &amp; " - " &amp; VLOOKUP(1,AB44:AL47,7,FALSE)</f>
        <v>4 - 0</v>
      </c>
      <c r="S45" s="28">
        <f>O45*3+P45</f>
        <v>3</v>
      </c>
      <c r="U45" s="62">
        <f>DATE(2014,6,24)+TIME(9,0,0)+gmt_delta</f>
        <v>41814.875</v>
      </c>
      <c r="V45" s="68" t="str">
        <f t="shared" si="4"/>
        <v/>
      </c>
      <c r="W45" s="68" t="str">
        <f t="shared" si="2"/>
        <v/>
      </c>
      <c r="X45" s="63">
        <f t="shared" si="5"/>
        <v>0</v>
      </c>
      <c r="Y45" s="62">
        <f t="shared" si="6"/>
        <v>0</v>
      </c>
      <c r="Z45" s="62">
        <f t="shared" si="7"/>
        <v>0</v>
      </c>
      <c r="AB45" s="62">
        <f>COUNTIF(AO44:AO47,CONCATENATE("&gt;=",AO45))</f>
        <v>4</v>
      </c>
      <c r="AC45" s="63" t="str">
        <f>INDEX(T,65,lang)</f>
        <v>Portogallo</v>
      </c>
      <c r="AD45" s="62">
        <f>COUNTIF($V$7:$W$54,"=" &amp; AC45 &amp; "_win")</f>
        <v>0</v>
      </c>
      <c r="AE45" s="62">
        <f>COUNTIF($V$7:$W$54,"=" &amp; AC45 &amp; "_draw")</f>
        <v>0</v>
      </c>
      <c r="AF45" s="62">
        <f>COUNTIF($V$7:$W$54,"=" &amp; AC45 &amp; "_lose")</f>
        <v>1</v>
      </c>
      <c r="AG45" s="62">
        <f>SUMIF($E$7:$E$54,$AC45,$F$7:$F$54) + SUMIF($H$7:$H$54,$AC45,$G$7:$G$54)</f>
        <v>0</v>
      </c>
      <c r="AH45" s="62">
        <f>SUMIF($E$7:$E$54,$AC45,$G$7:$G$54) + SUMIF($H$7:$H$54,$AC45,$F$7:$F$54)</f>
        <v>4</v>
      </c>
      <c r="AI45" s="62">
        <f>(AG45-AH45)*100+AL45*10000+AG45</f>
        <v>-400</v>
      </c>
      <c r="AJ45" s="62">
        <f>AG45-AH45</f>
        <v>-4</v>
      </c>
      <c r="AK45" s="62">
        <f>(AJ45-AJ49)/AJ48</f>
        <v>0</v>
      </c>
      <c r="AL45" s="62">
        <f>AD45*3+AE45</f>
        <v>0</v>
      </c>
      <c r="AM45" s="62">
        <f>AQ45/AQ48*1000+AR45/AR48*100+AU45/AU48*10+AS45/AS48</f>
        <v>0</v>
      </c>
      <c r="AN45" s="62">
        <f>VLOOKUP(AC45,db_fifarank,2,FALSE)/2000000</f>
        <v>6.2250000000000001E-4</v>
      </c>
      <c r="AO45" s="63">
        <f>1000*AL45/AL48+100*AK45+10*AG45/AG48+1*AM45/AM48+AN45</f>
        <v>6.2250000000000001E-4</v>
      </c>
      <c r="AP45" s="64" t="str">
        <f>IF(SUM(AD44:AF47)=12,M46,INDEX(T,83,lang))</f>
        <v>2G</v>
      </c>
      <c r="AQ45" s="65">
        <f>SUMPRODUCT(($V$7:$V$54=AC45&amp;"_win")*($X$7:$X$54))+SUMPRODUCT(($W$7:$W$54=AC45&amp;"_win")*($X$7:$X$54))</f>
        <v>0</v>
      </c>
      <c r="AR45" s="66">
        <f>SUMPRODUCT(($V$7:$V$54=AC45&amp;"_draw")*($X$7:$X$54))+SUMPRODUCT(($W$7:$W$54=AC45&amp;"_draw")*($X$7:$X$54))</f>
        <v>0</v>
      </c>
      <c r="AS45" s="66">
        <f>SUMPRODUCT(($E$7:$E$54=AC45)*($X$7:$X$54)*($F$7:$F$54))+SUMPRODUCT(($H$7:$H$54=AC45)*($X$7:$X$54)*($G$7:$G$54))</f>
        <v>0</v>
      </c>
      <c r="AT45" s="66">
        <f>SUMPRODUCT(($E$7:$E$54=AC45)*($X$7:$X$54)*($G$7:$G$54))+SUMPRODUCT(($H$7:$H$54=AC45)*($X$7:$X$54)*($F$7:$F$54))</f>
        <v>0</v>
      </c>
      <c r="AU45" s="66">
        <f>AS45-AT45</f>
        <v>0</v>
      </c>
    </row>
    <row r="46" spans="1:47" x14ac:dyDescent="0.2">
      <c r="A46" s="75">
        <v>40</v>
      </c>
      <c r="B46" s="76" t="str">
        <f t="shared" si="0"/>
        <v>Mar</v>
      </c>
      <c r="C46" s="77" t="str">
        <f t="shared" si="1"/>
        <v>Giu 24, 2014</v>
      </c>
      <c r="D46" s="78">
        <f t="shared" si="3"/>
        <v>0.875</v>
      </c>
      <c r="E46" s="79" t="str">
        <f>AC21</f>
        <v>Grecia</v>
      </c>
      <c r="F46" s="133"/>
      <c r="G46" s="133"/>
      <c r="H46" s="86" t="str">
        <f>AC22</f>
        <v>Costa d' Avorio</v>
      </c>
      <c r="I46" s="138" t="str">
        <f>INDEX(T,107,lang)</f>
        <v>Fortaleza</v>
      </c>
      <c r="J46" s="139"/>
      <c r="K46" s="140"/>
      <c r="M46" s="23" t="str">
        <f>VLOOKUP(2,AB44:AL47,2,FALSE)</f>
        <v>Stati Uniti d'America</v>
      </c>
      <c r="N46" s="29">
        <f>O46+P46+Q46</f>
        <v>1</v>
      </c>
      <c r="O46" s="29">
        <f>VLOOKUP(2,AB44:AL47,3,FALSE)</f>
        <v>1</v>
      </c>
      <c r="P46" s="29">
        <f>VLOOKUP(2,AB44:AL47,4,FALSE)</f>
        <v>0</v>
      </c>
      <c r="Q46" s="29">
        <f>VLOOKUP(2,AB44:AL47,5,FALSE)</f>
        <v>0</v>
      </c>
      <c r="R46" s="29" t="str">
        <f>VLOOKUP(2,AB44:AL47,6,FALSE) &amp; " - " &amp; VLOOKUP(2,AB44:AL47,7,FALSE)</f>
        <v>2 - 1</v>
      </c>
      <c r="S46" s="30">
        <f>O46*3+P46</f>
        <v>3</v>
      </c>
      <c r="U46" s="62">
        <f>DATE(2014,6,24)+TIME(9,0,0)+gmt_delta</f>
        <v>41814.875</v>
      </c>
      <c r="V46" s="68" t="str">
        <f t="shared" si="4"/>
        <v/>
      </c>
      <c r="W46" s="68" t="str">
        <f t="shared" si="2"/>
        <v/>
      </c>
      <c r="X46" s="63">
        <f t="shared" si="5"/>
        <v>0</v>
      </c>
      <c r="Y46" s="62">
        <f t="shared" si="6"/>
        <v>0</v>
      </c>
      <c r="Z46" s="62">
        <f t="shared" si="7"/>
        <v>0</v>
      </c>
      <c r="AB46" s="62">
        <f>COUNTIF(AO44:AO47,CONCATENATE("&gt;=",AO46))</f>
        <v>3</v>
      </c>
      <c r="AC46" s="63" t="str">
        <f>INDEX(T,53,lang)</f>
        <v>Ghana</v>
      </c>
      <c r="AD46" s="62">
        <f>COUNTIF($V$7:$W$54,"=" &amp; AC46 &amp; "_win")</f>
        <v>0</v>
      </c>
      <c r="AE46" s="62">
        <f>COUNTIF($V$7:$W$54,"=" &amp; AC46 &amp; "_draw")</f>
        <v>0</v>
      </c>
      <c r="AF46" s="62">
        <f>COUNTIF($V$7:$W$54,"=" &amp; AC46 &amp; "_lose")</f>
        <v>1</v>
      </c>
      <c r="AG46" s="62">
        <f>SUMIF($E$7:$E$54,$AC46,$F$7:$F$54) + SUMIF($H$7:$H$54,$AC46,$G$7:$G$54)</f>
        <v>1</v>
      </c>
      <c r="AH46" s="62">
        <f>SUMIF($E$7:$E$54,$AC46,$G$7:$G$54) + SUMIF($H$7:$H$54,$AC46,$F$7:$F$54)</f>
        <v>2</v>
      </c>
      <c r="AI46" s="62">
        <f>(AG46-AH46)*100+AL46*10000+AG46</f>
        <v>-99</v>
      </c>
      <c r="AJ46" s="62">
        <f>AG46-AH46</f>
        <v>-1</v>
      </c>
      <c r="AK46" s="62">
        <f>(AJ46-AJ49)/AJ48</f>
        <v>0.33333333333333331</v>
      </c>
      <c r="AL46" s="62">
        <f>AD46*3+AE46</f>
        <v>0</v>
      </c>
      <c r="AM46" s="62">
        <f>AQ46/AQ48*1000+AR46/AR48*100+AU46/AU48*10+AS46/AS48</f>
        <v>0</v>
      </c>
      <c r="AN46" s="62">
        <f>VLOOKUP(AC46,db_fifarank,2,FALSE)/2000000</f>
        <v>3.5649999999999999E-4</v>
      </c>
      <c r="AO46" s="63">
        <f>1000*AL46/AL48+100*AK46+10*AG46/AG48+1*AM46/AM48+AN46</f>
        <v>35.333689833333331</v>
      </c>
      <c r="AQ46" s="65">
        <f>SUMPRODUCT(($V$7:$V$54=AC46&amp;"_win")*($X$7:$X$54))+SUMPRODUCT(($W$7:$W$54=AC46&amp;"_win")*($X$7:$X$54))</f>
        <v>0</v>
      </c>
      <c r="AR46" s="66">
        <f>SUMPRODUCT(($V$7:$V$54=AC46&amp;"_draw")*($X$7:$X$54))+SUMPRODUCT(($W$7:$W$54=AC46&amp;"_draw")*($X$7:$X$54))</f>
        <v>0</v>
      </c>
      <c r="AS46" s="66">
        <f>SUMPRODUCT(($E$7:$E$54=AC46)*($X$7:$X$54)*($F$7:$F$54))+SUMPRODUCT(($H$7:$H$54=AC46)*($X$7:$X$54)*($G$7:$G$54))</f>
        <v>0</v>
      </c>
      <c r="AT46" s="66">
        <f>SUMPRODUCT(($E$7:$E$54=AC46)*($X$7:$X$54)*($G$7:$G$54))+SUMPRODUCT(($H$7:$H$54=AC46)*($X$7:$X$54)*($F$7:$F$54))</f>
        <v>0</v>
      </c>
      <c r="AU46" s="66">
        <f>AS46-AT46</f>
        <v>0</v>
      </c>
    </row>
    <row r="47" spans="1:47" x14ac:dyDescent="0.2">
      <c r="A47" s="75">
        <v>41</v>
      </c>
      <c r="B47" s="76" t="str">
        <f t="shared" si="0"/>
        <v>Mer</v>
      </c>
      <c r="C47" s="77" t="str">
        <f t="shared" si="1"/>
        <v>Giu 25, 2014</v>
      </c>
      <c r="D47" s="78">
        <f t="shared" si="3"/>
        <v>0.70833333333333337</v>
      </c>
      <c r="E47" s="79" t="str">
        <f>AC41</f>
        <v>Nigeria</v>
      </c>
      <c r="F47" s="133"/>
      <c r="G47" s="133"/>
      <c r="H47" s="86" t="str">
        <f>AC38</f>
        <v>Argentina</v>
      </c>
      <c r="I47" s="138" t="str">
        <f>INDEX(T,110,lang)</f>
        <v>Porto Alegre</v>
      </c>
      <c r="J47" s="139"/>
      <c r="K47" s="140"/>
      <c r="M47" s="23" t="str">
        <f>VLOOKUP(3,AB44:AL47,2,FALSE)</f>
        <v>Ghana</v>
      </c>
      <c r="N47" s="29">
        <f>O47+P47+Q47</f>
        <v>1</v>
      </c>
      <c r="O47" s="29">
        <f>VLOOKUP(3,AB44:AL47,3,FALSE)</f>
        <v>0</v>
      </c>
      <c r="P47" s="29">
        <f>VLOOKUP(3,AB44:AL47,4,FALSE)</f>
        <v>0</v>
      </c>
      <c r="Q47" s="29">
        <f>VLOOKUP(3,AB44:AL47,5,FALSE)</f>
        <v>1</v>
      </c>
      <c r="R47" s="29" t="str">
        <f>VLOOKUP(3,AB44:AL47,6,FALSE) &amp; " - " &amp; VLOOKUP(3,AB44:AL47,7,FALSE)</f>
        <v>1 - 2</v>
      </c>
      <c r="S47" s="30">
        <f>O47*3+P47</f>
        <v>0</v>
      </c>
      <c r="U47" s="62">
        <f>DATE(2014,6,25)+TIME(5,0,0)+gmt_delta</f>
        <v>41815.708333333336</v>
      </c>
      <c r="V47" s="68" t="str">
        <f t="shared" si="4"/>
        <v/>
      </c>
      <c r="W47" s="68" t="str">
        <f t="shared" si="2"/>
        <v/>
      </c>
      <c r="X47" s="63">
        <f t="shared" si="5"/>
        <v>0</v>
      </c>
      <c r="Y47" s="62">
        <f t="shared" si="6"/>
        <v>0</v>
      </c>
      <c r="Z47" s="62">
        <f t="shared" si="7"/>
        <v>0</v>
      </c>
      <c r="AB47" s="62">
        <f>COUNTIF(AO44:AO47,CONCATENATE("&gt;=",AO47))</f>
        <v>2</v>
      </c>
      <c r="AC47" s="63" t="str">
        <f>INDEX(T,47,lang)</f>
        <v>Stati Uniti d'America</v>
      </c>
      <c r="AD47" s="62">
        <f>COUNTIF($V$7:$W$54,"=" &amp; AC47 &amp; "_win")</f>
        <v>1</v>
      </c>
      <c r="AE47" s="62">
        <f>COUNTIF($V$7:$W$54,"=" &amp; AC47 &amp; "_draw")</f>
        <v>0</v>
      </c>
      <c r="AF47" s="62">
        <f>COUNTIF($V$7:$W$54,"=" &amp; AC47 &amp; "_lose")</f>
        <v>0</v>
      </c>
      <c r="AG47" s="62">
        <f>SUMIF($E$7:$E$54,$AC47,$F$7:$F$54) + SUMIF($H$7:$H$54,$AC47,$G$7:$G$54)</f>
        <v>2</v>
      </c>
      <c r="AH47" s="62">
        <f>SUMIF($E$7:$E$54,$AC47,$G$7:$G$54) + SUMIF($H$7:$H$54,$AC47,$F$7:$F$54)</f>
        <v>1</v>
      </c>
      <c r="AI47" s="62">
        <f>(AG47-AH47)*100+AL47*10000+AG47</f>
        <v>30102</v>
      </c>
      <c r="AJ47" s="62">
        <f>AG47-AH47</f>
        <v>1</v>
      </c>
      <c r="AK47" s="62">
        <f>(AJ47-AJ49)/AJ48</f>
        <v>0.55555555555555558</v>
      </c>
      <c r="AL47" s="62">
        <f>AD47*3+AE47</f>
        <v>3</v>
      </c>
      <c r="AM47" s="62">
        <f>AQ47/AQ48*1000+AR47/AR48*100+AU47/AU48*10+AS47/AS48</f>
        <v>0</v>
      </c>
      <c r="AN47" s="62">
        <f>VLOOKUP(AC47,db_fifarank,2,FALSE)/2000000</f>
        <v>5.0750000000000003E-4</v>
      </c>
      <c r="AO47" s="63">
        <f>1000*AL47/AL48+100*AK47+10*AG47/AG48+1*AM47/AM48+AN47</f>
        <v>809.55606305555557</v>
      </c>
      <c r="AQ47" s="65">
        <f>SUMPRODUCT(($V$7:$V$54=AC47&amp;"_win")*($X$7:$X$54))+SUMPRODUCT(($W$7:$W$54=AC47&amp;"_win")*($X$7:$X$54))</f>
        <v>0</v>
      </c>
      <c r="AR47" s="66">
        <f>SUMPRODUCT(($V$7:$V$54=AC47&amp;"_draw")*($X$7:$X$54))+SUMPRODUCT(($W$7:$W$54=AC47&amp;"_draw")*($X$7:$X$54))</f>
        <v>0</v>
      </c>
      <c r="AS47" s="66">
        <f>SUMPRODUCT(($E$7:$E$54=AC47)*($X$7:$X$54)*($F$7:$F$54))+SUMPRODUCT(($H$7:$H$54=AC47)*($X$7:$X$54)*($G$7:$G$54))</f>
        <v>0</v>
      </c>
      <c r="AT47" s="66">
        <f>SUMPRODUCT(($E$7:$E$54=AC47)*($X$7:$X$54)*($G$7:$G$54))+SUMPRODUCT(($H$7:$H$54=AC47)*($X$7:$X$54)*($F$7:$F$54))</f>
        <v>0</v>
      </c>
      <c r="AU47" s="66">
        <f>AS47-AT47</f>
        <v>0</v>
      </c>
    </row>
    <row r="48" spans="1:47" x14ac:dyDescent="0.2">
      <c r="A48" s="75">
        <v>42</v>
      </c>
      <c r="B48" s="76" t="str">
        <f t="shared" si="0"/>
        <v>Mer</v>
      </c>
      <c r="C48" s="77" t="str">
        <f t="shared" si="1"/>
        <v>Giu 25, 2014</v>
      </c>
      <c r="D48" s="78">
        <f t="shared" si="3"/>
        <v>0.70833333333333337</v>
      </c>
      <c r="E48" s="79" t="str">
        <f>AC39</f>
        <v>Bosnia - Erzegovina</v>
      </c>
      <c r="F48" s="133"/>
      <c r="G48" s="133"/>
      <c r="H48" s="86" t="str">
        <f>AC40</f>
        <v>Iran</v>
      </c>
      <c r="I48" s="138" t="str">
        <f>INDEX(T,113,lang)</f>
        <v>Salvador</v>
      </c>
      <c r="J48" s="139"/>
      <c r="K48" s="140"/>
      <c r="M48" s="24" t="str">
        <f>VLOOKUP(4,AB44:AL47,2,FALSE)</f>
        <v>Portogallo</v>
      </c>
      <c r="N48" s="31">
        <f>O48+P48+Q48</f>
        <v>1</v>
      </c>
      <c r="O48" s="31">
        <f>VLOOKUP(4,AB44:AL47,3,FALSE)</f>
        <v>0</v>
      </c>
      <c r="P48" s="31">
        <f>VLOOKUP(4,AB44:AL47,4,FALSE)</f>
        <v>0</v>
      </c>
      <c r="Q48" s="31">
        <f>VLOOKUP(4,AB44:AL47,5,FALSE)</f>
        <v>1</v>
      </c>
      <c r="R48" s="31" t="str">
        <f>VLOOKUP(4,AB44:AL47,6,FALSE) &amp; " - " &amp; VLOOKUP(4,AB44:AL47,7,FALSE)</f>
        <v>0 - 4</v>
      </c>
      <c r="S48" s="32">
        <f>O48*3+P48</f>
        <v>0</v>
      </c>
      <c r="U48" s="62">
        <f>DATE(2014,6,25)+TIME(5,0,0)+gmt_delta</f>
        <v>41815.708333333336</v>
      </c>
      <c r="V48" s="68" t="str">
        <f t="shared" si="4"/>
        <v/>
      </c>
      <c r="W48" s="68" t="str">
        <f t="shared" si="2"/>
        <v/>
      </c>
      <c r="X48" s="63">
        <f t="shared" si="5"/>
        <v>0</v>
      </c>
      <c r="Y48" s="62">
        <f t="shared" si="6"/>
        <v>0</v>
      </c>
      <c r="Z48" s="62">
        <f t="shared" si="7"/>
        <v>0</v>
      </c>
      <c r="AD48" s="62">
        <f t="shared" ref="AD48:AM48" si="14">MAX(AD44:AD47)-MIN(AD44:AD47)+1</f>
        <v>2</v>
      </c>
      <c r="AE48" s="62">
        <f t="shared" si="14"/>
        <v>1</v>
      </c>
      <c r="AF48" s="62">
        <f t="shared" si="14"/>
        <v>2</v>
      </c>
      <c r="AG48" s="62">
        <f t="shared" si="14"/>
        <v>5</v>
      </c>
      <c r="AH48" s="62">
        <f t="shared" si="14"/>
        <v>5</v>
      </c>
      <c r="AI48" s="62">
        <f>MAX(AI44:AI47)-AI49+1</f>
        <v>30805</v>
      </c>
      <c r="AJ48" s="62">
        <f>MAX(AJ44:AJ47)-AJ49+1</f>
        <v>9</v>
      </c>
      <c r="AL48" s="62">
        <f t="shared" si="14"/>
        <v>4</v>
      </c>
      <c r="AM48" s="62">
        <f t="shared" si="14"/>
        <v>1</v>
      </c>
      <c r="AQ48" s="62">
        <f>MAX(AQ44:AQ47)-MIN(AQ44:AQ47)+1</f>
        <v>1</v>
      </c>
      <c r="AR48" s="62">
        <f>MAX(AR44:AR47)-MIN(AR44:AR47)+1</f>
        <v>1</v>
      </c>
      <c r="AS48" s="62">
        <f>MAX(AS44:AS47)-MIN(AS44:AS47)+1</f>
        <v>1</v>
      </c>
      <c r="AT48" s="62">
        <f>MAX(AT44:AT47)-MIN(AT44:AT47)+1</f>
        <v>1</v>
      </c>
      <c r="AU48" s="62">
        <f>MAX(AU44:AU47)-MIN(AU44:AU47)+1</f>
        <v>1</v>
      </c>
    </row>
    <row r="49" spans="1:51" x14ac:dyDescent="0.2">
      <c r="A49" s="75">
        <v>43</v>
      </c>
      <c r="B49" s="76" t="str">
        <f t="shared" si="0"/>
        <v>Mer</v>
      </c>
      <c r="C49" s="77" t="str">
        <f t="shared" si="1"/>
        <v>Giu 25, 2014</v>
      </c>
      <c r="D49" s="78">
        <f t="shared" si="3"/>
        <v>0.875</v>
      </c>
      <c r="E49" s="79" t="str">
        <f>AC35</f>
        <v>Honduras</v>
      </c>
      <c r="F49" s="133"/>
      <c r="G49" s="133"/>
      <c r="H49" s="86" t="str">
        <f>AC32</f>
        <v>Svizzera</v>
      </c>
      <c r="I49" s="138" t="str">
        <f>INDEX(T,108,lang)</f>
        <v>Manaus</v>
      </c>
      <c r="J49" s="139"/>
      <c r="K49" s="140"/>
      <c r="U49" s="62">
        <f>DATE(2014,6,25)+TIME(9,0,0)+gmt_delta</f>
        <v>41815.875</v>
      </c>
      <c r="V49" s="68" t="str">
        <f t="shared" si="4"/>
        <v/>
      </c>
      <c r="W49" s="68" t="str">
        <f t="shared" si="2"/>
        <v/>
      </c>
      <c r="X49" s="63">
        <f t="shared" si="5"/>
        <v>0</v>
      </c>
      <c r="Y49" s="62">
        <f t="shared" si="6"/>
        <v>0</v>
      </c>
      <c r="Z49" s="62">
        <f t="shared" si="7"/>
        <v>0</v>
      </c>
      <c r="AI49" s="62">
        <f>MIN(AI44:AI47)</f>
        <v>-400</v>
      </c>
      <c r="AJ49" s="62">
        <f>MIN(AJ44:AJ47)</f>
        <v>-4</v>
      </c>
    </row>
    <row r="50" spans="1:51" x14ac:dyDescent="0.2">
      <c r="A50" s="75">
        <v>44</v>
      </c>
      <c r="B50" s="76" t="str">
        <f t="shared" si="0"/>
        <v>Mer</v>
      </c>
      <c r="C50" s="77" t="str">
        <f t="shared" si="1"/>
        <v>Giu 25, 2014</v>
      </c>
      <c r="D50" s="78">
        <f t="shared" si="3"/>
        <v>0.875</v>
      </c>
      <c r="E50" s="79" t="str">
        <f>AC33</f>
        <v>Ecuador</v>
      </c>
      <c r="F50" s="133"/>
      <c r="G50" s="133"/>
      <c r="H50" s="86" t="str">
        <f>AC34</f>
        <v>Francia</v>
      </c>
      <c r="I50" s="138" t="str">
        <f>INDEX(T,112,lang)</f>
        <v>Rio De Janeiro</v>
      </c>
      <c r="J50" s="139"/>
      <c r="K50" s="140"/>
      <c r="M50" s="52" t="str">
        <f>INDEX(T,9,lang) &amp; " " &amp; "H"</f>
        <v>Gruppo H</v>
      </c>
      <c r="N50" s="53" t="str">
        <f>INDEX(T,10,lang)</f>
        <v>G</v>
      </c>
      <c r="O50" s="53" t="str">
        <f>INDEX(T,11,lang)</f>
        <v>V</v>
      </c>
      <c r="P50" s="53" t="str">
        <f>INDEX(T,12,lang)</f>
        <v>P</v>
      </c>
      <c r="Q50" s="53" t="str">
        <f>INDEX(T,13,lang)</f>
        <v>S</v>
      </c>
      <c r="R50" s="53" t="str">
        <f>INDEX(T,14,lang)</f>
        <v>GF - GS</v>
      </c>
      <c r="S50" s="53" t="str">
        <f>INDEX(T,15,lang)</f>
        <v>Punti</v>
      </c>
      <c r="U50" s="62">
        <f>DATE(2014,6,25)+TIME(9,0,0)+gmt_delta</f>
        <v>41815.875</v>
      </c>
      <c r="V50" s="68" t="str">
        <f t="shared" si="4"/>
        <v/>
      </c>
      <c r="W50" s="68" t="str">
        <f t="shared" si="2"/>
        <v/>
      </c>
      <c r="X50" s="63">
        <f t="shared" si="5"/>
        <v>0</v>
      </c>
      <c r="Y50" s="62">
        <f t="shared" si="6"/>
        <v>0</v>
      </c>
      <c r="Z50" s="62">
        <f t="shared" si="7"/>
        <v>0</v>
      </c>
      <c r="AB50" s="62">
        <f>COUNTIF(AO50:AO53,CONCATENATE("&gt;=",AO50))</f>
        <v>1</v>
      </c>
      <c r="AC50" s="63" t="str">
        <f>INDEX(T,63,lang)</f>
        <v>Belgio</v>
      </c>
      <c r="AD50" s="62">
        <f>COUNTIF($V$7:$W$54,"=" &amp; AC50 &amp; "_win")</f>
        <v>0</v>
      </c>
      <c r="AE50" s="62">
        <f>COUNTIF($V$7:$W$54,"=" &amp; AC50 &amp; "_draw")</f>
        <v>0</v>
      </c>
      <c r="AF50" s="62">
        <f>COUNTIF($V$7:$W$54,"=" &amp; AC50 &amp; "_lose")</f>
        <v>0</v>
      </c>
      <c r="AG50" s="62">
        <f>SUMIF($E$7:$E$54,$AC50,$F$7:$F$54) + SUMIF($H$7:$H$54,$AC50,$G$7:$G$54)</f>
        <v>0</v>
      </c>
      <c r="AH50" s="62">
        <f>SUMIF($E$7:$E$54,$AC50,$G$7:$G$54) + SUMIF($H$7:$H$54,$AC50,$F$7:$F$54)</f>
        <v>0</v>
      </c>
      <c r="AI50" s="62">
        <f>(AG50-AH50)*100+AL50*10000+AG50</f>
        <v>0</v>
      </c>
      <c r="AJ50" s="62">
        <f>AG50-AH50</f>
        <v>0</v>
      </c>
      <c r="AK50" s="62">
        <f>(AJ50-AJ55)/AJ54</f>
        <v>0</v>
      </c>
      <c r="AL50" s="62">
        <f>AD50*3+AE50</f>
        <v>0</v>
      </c>
      <c r="AM50" s="62">
        <f>AQ50/AQ54*1000+AR50/AR54*100+AU50/AU54*10+AS50/AS54</f>
        <v>0</v>
      </c>
      <c r="AN50" s="62">
        <f>VLOOKUP(AC50,db_fifarank,2,FALSE)/2000000</f>
        <v>5.195E-4</v>
      </c>
      <c r="AO50" s="63">
        <f>1000*AL50/AL54+100*AK50+10*AG50/AG54+1*AM50/AM54+AN50</f>
        <v>5.195E-4</v>
      </c>
      <c r="AP50" s="64" t="str">
        <f>IF(SUM(AD50:AF53)=12,M51,INDEX(T,84,lang))</f>
        <v>1H</v>
      </c>
      <c r="AQ50" s="65">
        <f>SUMPRODUCT(($V$7:$V$54=AC50&amp;"_win")*($X$7:$X$54))+SUMPRODUCT(($W$7:$W$54=AC50&amp;"_win")*($X$7:$X$54))</f>
        <v>0</v>
      </c>
      <c r="AR50" s="66">
        <f>SUMPRODUCT(($V$7:$V$54=AC50&amp;"_draw")*($X$7:$X$54))+SUMPRODUCT(($W$7:$W$54=AC50&amp;"_draw")*($X$7:$X$54))</f>
        <v>0</v>
      </c>
      <c r="AS50" s="66">
        <f>SUMPRODUCT(($E$7:$E$54=AC50)*($X$7:$X$54)*($F$7:$F$54))+SUMPRODUCT(($H$7:$H$54=AC50)*($X$7:$X$54)*($G$7:$G$54))</f>
        <v>0</v>
      </c>
      <c r="AT50" s="66">
        <f>SUMPRODUCT(($E$7:$E$54=AC50)*($X$7:$X$54)*($G$7:$G$54))+SUMPRODUCT(($H$7:$H$54=AC50)*($X$7:$X$54)*($F$7:$F$54))</f>
        <v>0</v>
      </c>
      <c r="AU50" s="66">
        <f>AS50-AT50</f>
        <v>0</v>
      </c>
    </row>
    <row r="51" spans="1:51" x14ac:dyDescent="0.2">
      <c r="A51" s="75">
        <v>45</v>
      </c>
      <c r="B51" s="76" t="str">
        <f t="shared" si="0"/>
        <v>Gio</v>
      </c>
      <c r="C51" s="77" t="str">
        <f t="shared" si="1"/>
        <v>Giu 26, 2014</v>
      </c>
      <c r="D51" s="78">
        <f t="shared" si="3"/>
        <v>0.70833333333333337</v>
      </c>
      <c r="E51" s="79" t="str">
        <f>AC47</f>
        <v>Stati Uniti d'America</v>
      </c>
      <c r="F51" s="133"/>
      <c r="G51" s="133"/>
      <c r="H51" s="86" t="str">
        <f>AC44</f>
        <v>Germania</v>
      </c>
      <c r="I51" s="138" t="str">
        <f>INDEX(T,111,lang)</f>
        <v>Recife</v>
      </c>
      <c r="J51" s="139"/>
      <c r="K51" s="140"/>
      <c r="M51" s="22" t="str">
        <f>VLOOKUP(1,AB50:AL53,2,FALSE)</f>
        <v>Belgio</v>
      </c>
      <c r="N51" s="27">
        <f>O51+P51+Q51</f>
        <v>0</v>
      </c>
      <c r="O51" s="27">
        <f>VLOOKUP(1,AB50:AL53,3,FALSE)</f>
        <v>0</v>
      </c>
      <c r="P51" s="27">
        <f>VLOOKUP(1,AB50:AL53,4,FALSE)</f>
        <v>0</v>
      </c>
      <c r="Q51" s="27">
        <f>VLOOKUP(1,AB50:AL53,5,FALSE)</f>
        <v>0</v>
      </c>
      <c r="R51" s="27" t="str">
        <f>VLOOKUP(1,AB50:AL53,6,FALSE) &amp; " - " &amp; VLOOKUP(1,AB50:AL53,7,FALSE)</f>
        <v>0 - 0</v>
      </c>
      <c r="S51" s="28">
        <f>O51*3+P51</f>
        <v>0</v>
      </c>
      <c r="U51" s="62">
        <f>DATE(2014,6,26)+TIME(5,0,0)+gmt_delta</f>
        <v>41816.708333333336</v>
      </c>
      <c r="V51" s="68" t="str">
        <f t="shared" si="4"/>
        <v/>
      </c>
      <c r="W51" s="68" t="str">
        <f t="shared" si="2"/>
        <v/>
      </c>
      <c r="X51" s="63">
        <f t="shared" si="5"/>
        <v>0</v>
      </c>
      <c r="Y51" s="62">
        <f t="shared" si="6"/>
        <v>0</v>
      </c>
      <c r="Z51" s="62">
        <f t="shared" si="7"/>
        <v>0</v>
      </c>
      <c r="AB51" s="62">
        <f>COUNTIF(AO50:AO53,CONCATENATE("&gt;=",AO51))</f>
        <v>3</v>
      </c>
      <c r="AC51" s="63" t="str">
        <f>INDEX(T,48,lang)</f>
        <v>Algeria</v>
      </c>
      <c r="AD51" s="62">
        <f>COUNTIF($V$7:$W$54,"=" &amp; AC51 &amp; "_win")</f>
        <v>0</v>
      </c>
      <c r="AE51" s="62">
        <f>COUNTIF($V$7:$W$54,"=" &amp; AC51 &amp; "_draw")</f>
        <v>0</v>
      </c>
      <c r="AF51" s="62">
        <f>COUNTIF($V$7:$W$54,"=" &amp; AC51 &amp; "_lose")</f>
        <v>0</v>
      </c>
      <c r="AG51" s="62">
        <f>SUMIF($E$7:$E$54,$AC51,$F$7:$F$54) + SUMIF($H$7:$H$54,$AC51,$G$7:$G$54)</f>
        <v>0</v>
      </c>
      <c r="AH51" s="62">
        <f>SUMIF($E$7:$E$54,$AC51,$G$7:$G$54) + SUMIF($H$7:$H$54,$AC51,$F$7:$F$54)</f>
        <v>0</v>
      </c>
      <c r="AI51" s="62">
        <f>(AG51-AH51)*100+AL51*10000+AG51</f>
        <v>0</v>
      </c>
      <c r="AJ51" s="62">
        <f>AG51-AH51</f>
        <v>0</v>
      </c>
      <c r="AK51" s="62">
        <f>(AJ51-AJ55)/AJ54</f>
        <v>0</v>
      </c>
      <c r="AL51" s="62">
        <f>AD51*3+AE51</f>
        <v>0</v>
      </c>
      <c r="AM51" s="62">
        <f>AQ51/AQ54*1000+AR51/AR54*100+AU51/AU54*10+AS51/AS54</f>
        <v>0</v>
      </c>
      <c r="AN51" s="62">
        <f>VLOOKUP(AC51,db_fifarank,2,FALSE)/2000000</f>
        <v>3.9750000000000001E-4</v>
      </c>
      <c r="AO51" s="63">
        <f>1000*AL51/AL54+100*AK51+10*AG51/AG54+1*AM51/AM54+AN51</f>
        <v>3.9750000000000001E-4</v>
      </c>
      <c r="AP51" s="64" t="str">
        <f>IF(SUM(AD50:AF53)=12,M52,INDEX(T,85,lang))</f>
        <v>2H</v>
      </c>
      <c r="AQ51" s="65">
        <f>SUMPRODUCT(($V$7:$V$54=AC51&amp;"_win")*($X$7:$X$54))+SUMPRODUCT(($W$7:$W$54=AC51&amp;"_win")*($X$7:$X$54))</f>
        <v>0</v>
      </c>
      <c r="AR51" s="66">
        <f>SUMPRODUCT(($V$7:$V$54=AC51&amp;"_draw")*($X$7:$X$54))+SUMPRODUCT(($W$7:$W$54=AC51&amp;"_draw")*($X$7:$X$54))</f>
        <v>0</v>
      </c>
      <c r="AS51" s="66">
        <f>SUMPRODUCT(($E$7:$E$54=AC51)*($X$7:$X$54)*($F$7:$F$54))+SUMPRODUCT(($H$7:$H$54=AC51)*($X$7:$X$54)*($G$7:$G$54))</f>
        <v>0</v>
      </c>
      <c r="AT51" s="66">
        <f>SUMPRODUCT(($E$7:$E$54=AC51)*($X$7:$X$54)*($G$7:$G$54))+SUMPRODUCT(($H$7:$H$54=AC51)*($X$7:$X$54)*($F$7:$F$54))</f>
        <v>0</v>
      </c>
      <c r="AU51" s="66">
        <f>AS51-AT51</f>
        <v>0</v>
      </c>
    </row>
    <row r="52" spans="1:51" x14ac:dyDescent="0.2">
      <c r="A52" s="75">
        <v>46</v>
      </c>
      <c r="B52" s="76" t="str">
        <f t="shared" si="0"/>
        <v>Gio</v>
      </c>
      <c r="C52" s="77" t="str">
        <f t="shared" si="1"/>
        <v>Giu 26, 2014</v>
      </c>
      <c r="D52" s="78">
        <f t="shared" si="3"/>
        <v>0.70833333333333337</v>
      </c>
      <c r="E52" s="79" t="str">
        <f>AC45</f>
        <v>Portogallo</v>
      </c>
      <c r="F52" s="133"/>
      <c r="G52" s="133"/>
      <c r="H52" s="86" t="str">
        <f>AC46</f>
        <v>Ghana</v>
      </c>
      <c r="I52" s="138" t="str">
        <f>INDEX(T,104,lang)</f>
        <v>Brasilia</v>
      </c>
      <c r="J52" s="139"/>
      <c r="K52" s="140"/>
      <c r="M52" s="23" t="str">
        <f>VLOOKUP(2,AB50:AL53,2,FALSE)</f>
        <v>Russia</v>
      </c>
      <c r="N52" s="29">
        <f>O52+P52+Q52</f>
        <v>0</v>
      </c>
      <c r="O52" s="29">
        <f>VLOOKUP(2,AB50:AL53,3,FALSE)</f>
        <v>0</v>
      </c>
      <c r="P52" s="29">
        <f>VLOOKUP(2,AB50:AL53,4,FALSE)</f>
        <v>0</v>
      </c>
      <c r="Q52" s="29">
        <f>VLOOKUP(2,AB50:AL53,5,FALSE)</f>
        <v>0</v>
      </c>
      <c r="R52" s="29" t="str">
        <f>VLOOKUP(2,AB50:AL53,6,FALSE) &amp; " - " &amp; VLOOKUP(2,AB50:AL53,7,FALSE)</f>
        <v>0 - 0</v>
      </c>
      <c r="S52" s="30">
        <f>O52*3+P52</f>
        <v>0</v>
      </c>
      <c r="U52" s="62">
        <f>DATE(2014,6,26)+TIME(5,0,0)+gmt_delta</f>
        <v>41816.708333333336</v>
      </c>
      <c r="V52" s="68" t="str">
        <f t="shared" si="4"/>
        <v/>
      </c>
      <c r="W52" s="68" t="str">
        <f t="shared" si="2"/>
        <v/>
      </c>
      <c r="X52" s="63">
        <f t="shared" si="5"/>
        <v>0</v>
      </c>
      <c r="Y52" s="62">
        <f t="shared" si="6"/>
        <v>0</v>
      </c>
      <c r="Z52" s="62">
        <f t="shared" si="7"/>
        <v>0</v>
      </c>
      <c r="AB52" s="62">
        <f>COUNTIF(AO50:AO53,CONCATENATE("&gt;=",AO52))</f>
        <v>2</v>
      </c>
      <c r="AC52" s="63" t="str">
        <f>INDEX(T,49,lang)</f>
        <v>Russia</v>
      </c>
      <c r="AD52" s="62">
        <f>COUNTIF($V$7:$W$54,"=" &amp; AC52 &amp; "_win")</f>
        <v>0</v>
      </c>
      <c r="AE52" s="62">
        <f>COUNTIF($V$7:$W$54,"=" &amp; AC52 &amp; "_draw")</f>
        <v>0</v>
      </c>
      <c r="AF52" s="62">
        <f>COUNTIF($V$7:$W$54,"=" &amp; AC52 &amp; "_lose")</f>
        <v>0</v>
      </c>
      <c r="AG52" s="62">
        <f>SUMIF($E$7:$E$54,$AC52,$F$7:$F$54) + SUMIF($H$7:$H$54,$AC52,$G$7:$G$54)</f>
        <v>0</v>
      </c>
      <c r="AH52" s="62">
        <f>SUMIF($E$7:$E$54,$AC52,$G$7:$G$54) + SUMIF($H$7:$H$54,$AC52,$F$7:$F$54)</f>
        <v>0</v>
      </c>
      <c r="AI52" s="62">
        <f>(AG52-AH52)*100+AL52*10000+AG52</f>
        <v>0</v>
      </c>
      <c r="AJ52" s="62">
        <f>AG52-AH52</f>
        <v>0</v>
      </c>
      <c r="AK52" s="62">
        <f>(AJ52-AJ55)/AJ54</f>
        <v>0</v>
      </c>
      <c r="AL52" s="62">
        <f>AD52*3+AE52</f>
        <v>0</v>
      </c>
      <c r="AM52" s="62">
        <f>AQ52/AQ54*1000+AR52/AR54*100+AU52/AU54*10+AS52/AS54</f>
        <v>0</v>
      </c>
      <c r="AN52" s="62">
        <f>VLOOKUP(AC52,db_fifarank,2,FALSE)/2000000</f>
        <v>4.5150000000000002E-4</v>
      </c>
      <c r="AO52" s="63">
        <f>1000*AL52/AL54+100*AK52+10*AG52/AG54+1*AM52/AM54+AN52</f>
        <v>4.5150000000000002E-4</v>
      </c>
      <c r="AQ52" s="65">
        <f>SUMPRODUCT(($V$7:$V$54=AC52&amp;"_win")*($X$7:$X$54))+SUMPRODUCT(($W$7:$W$54=AC52&amp;"_win")*($X$7:$X$54))</f>
        <v>0</v>
      </c>
      <c r="AR52" s="66">
        <f>SUMPRODUCT(($V$7:$V$54=AC52&amp;"_draw")*($X$7:$X$54))+SUMPRODUCT(($W$7:$W$54=AC52&amp;"_draw")*($X$7:$X$54))</f>
        <v>0</v>
      </c>
      <c r="AS52" s="66">
        <f>SUMPRODUCT(($E$7:$E$54=AC52)*($X$7:$X$54)*($F$7:$F$54))+SUMPRODUCT(($H$7:$H$54=AC52)*($X$7:$X$54)*($G$7:$G$54))</f>
        <v>0</v>
      </c>
      <c r="AT52" s="66">
        <f>SUMPRODUCT(($E$7:$E$54=AC52)*($X$7:$X$54)*($G$7:$G$54))+SUMPRODUCT(($H$7:$H$54=AC52)*($X$7:$X$54)*($F$7:$F$54))</f>
        <v>0</v>
      </c>
      <c r="AU52" s="66">
        <f>AS52-AT52</f>
        <v>0</v>
      </c>
    </row>
    <row r="53" spans="1:51" x14ac:dyDescent="0.2">
      <c r="A53" s="75">
        <v>47</v>
      </c>
      <c r="B53" s="76" t="str">
        <f t="shared" si="0"/>
        <v>Gio</v>
      </c>
      <c r="C53" s="77" t="str">
        <f t="shared" si="1"/>
        <v>Giu 26, 2014</v>
      </c>
      <c r="D53" s="78">
        <f t="shared" si="3"/>
        <v>0.875</v>
      </c>
      <c r="E53" s="79" t="str">
        <f>AC53</f>
        <v>Corea del Sud</v>
      </c>
      <c r="F53" s="133"/>
      <c r="G53" s="133"/>
      <c r="H53" s="86" t="str">
        <f>AC50</f>
        <v>Belgio</v>
      </c>
      <c r="I53" s="138" t="str">
        <f>INDEX(T,114,lang)</f>
        <v>Sao Paulo</v>
      </c>
      <c r="J53" s="139"/>
      <c r="K53" s="140"/>
      <c r="M53" s="23" t="str">
        <f>VLOOKUP(3,AB50:AL53,2,FALSE)</f>
        <v>Algeria</v>
      </c>
      <c r="N53" s="29">
        <f>O53+P53+Q53</f>
        <v>0</v>
      </c>
      <c r="O53" s="29">
        <f>VLOOKUP(3,AB50:AL53,3,FALSE)</f>
        <v>0</v>
      </c>
      <c r="P53" s="29">
        <f>VLOOKUP(3,AB50:AL53,4,FALSE)</f>
        <v>0</v>
      </c>
      <c r="Q53" s="29">
        <f>VLOOKUP(3,AB50:AL53,5,FALSE)</f>
        <v>0</v>
      </c>
      <c r="R53" s="29" t="str">
        <f>VLOOKUP(3,AB50:AL53,6,FALSE) &amp; " - " &amp; VLOOKUP(3,AB50:AL53,7,FALSE)</f>
        <v>0 - 0</v>
      </c>
      <c r="S53" s="30">
        <f>O53*3+P53</f>
        <v>0</v>
      </c>
      <c r="U53" s="62">
        <f>DATE(2014,6,26)+TIME(9,0,0)+gmt_delta</f>
        <v>41816.875</v>
      </c>
      <c r="V53" s="68" t="str">
        <f t="shared" si="4"/>
        <v/>
      </c>
      <c r="W53" s="68" t="str">
        <f t="shared" si="2"/>
        <v/>
      </c>
      <c r="X53" s="63">
        <f t="shared" si="5"/>
        <v>0</v>
      </c>
      <c r="Y53" s="62">
        <f t="shared" si="6"/>
        <v>0</v>
      </c>
      <c r="Z53" s="62">
        <f t="shared" si="7"/>
        <v>0</v>
      </c>
      <c r="AB53" s="62">
        <f>COUNTIF(AO50:AO53,CONCATENATE("&gt;=",AO53))</f>
        <v>4</v>
      </c>
      <c r="AC53" s="63" t="str">
        <f>INDEX(T,44,lang)</f>
        <v>Corea del Sud</v>
      </c>
      <c r="AD53" s="62">
        <f>COUNTIF($V$7:$W$54,"=" &amp; AC53 &amp; "_win")</f>
        <v>0</v>
      </c>
      <c r="AE53" s="62">
        <f>COUNTIF($V$7:$W$54,"=" &amp; AC53 &amp; "_draw")</f>
        <v>0</v>
      </c>
      <c r="AF53" s="62">
        <f>COUNTIF($V$7:$W$54,"=" &amp; AC53 &amp; "_lose")</f>
        <v>0</v>
      </c>
      <c r="AG53" s="62">
        <f>SUMIF($E$7:$E$54,$AC53,$F$7:$F$54) + SUMIF($H$7:$H$54,$AC53,$G$7:$G$54)</f>
        <v>0</v>
      </c>
      <c r="AH53" s="62">
        <f>SUMIF($E$7:$E$54,$AC53,$G$7:$G$54) + SUMIF($H$7:$H$54,$AC53,$F$7:$F$54)</f>
        <v>0</v>
      </c>
      <c r="AI53" s="62">
        <f>(AG53-AH53)*100+AL53*10000+AG53</f>
        <v>0</v>
      </c>
      <c r="AJ53" s="62">
        <f>AG53-AH53</f>
        <v>0</v>
      </c>
      <c r="AK53" s="62">
        <f>(AJ53-AJ55)/AJ54</f>
        <v>0</v>
      </c>
      <c r="AL53" s="62">
        <f>AD53*3+AE53</f>
        <v>0</v>
      </c>
      <c r="AM53" s="62">
        <f>AQ53/AQ54*1000+AR53/AR54*100+AU53/AU54*10+AS53/AS54</f>
        <v>0</v>
      </c>
      <c r="AN53" s="62">
        <f>VLOOKUP(AC53,db_fifarank,2,FALSE)/2000000</f>
        <v>2.7549999999999997E-4</v>
      </c>
      <c r="AO53" s="63">
        <f>1000*AL53/AL54+100*AK53+10*AG53/AG54+1*AM53/AM54+AN53</f>
        <v>2.7549999999999997E-4</v>
      </c>
      <c r="AQ53" s="65">
        <f>SUMPRODUCT(($V$7:$V$54=AC53&amp;"_win")*($X$7:$X$54))+SUMPRODUCT(($W$7:$W$54=AC53&amp;"_win")*($X$7:$X$54))</f>
        <v>0</v>
      </c>
      <c r="AR53" s="66">
        <f>SUMPRODUCT(($V$7:$V$54=AC53&amp;"_draw")*($X$7:$X$54))+SUMPRODUCT(($W$7:$W$54=AC53&amp;"_draw")*($X$7:$X$54))</f>
        <v>0</v>
      </c>
      <c r="AS53" s="66">
        <f>SUMPRODUCT(($E$7:$E$54=AC53)*($X$7:$X$54)*($F$7:$F$54))+SUMPRODUCT(($H$7:$H$54=AC53)*($X$7:$X$54)*($G$7:$G$54))</f>
        <v>0</v>
      </c>
      <c r="AT53" s="66">
        <f>SUMPRODUCT(($E$7:$E$54=AC53)*($X$7:$X$54)*($G$7:$G$54))+SUMPRODUCT(($H$7:$H$54=AC53)*($X$7:$X$54)*($F$7:$F$54))</f>
        <v>0</v>
      </c>
      <c r="AU53" s="66">
        <f>AS53-AT53</f>
        <v>0</v>
      </c>
    </row>
    <row r="54" spans="1:51" x14ac:dyDescent="0.2">
      <c r="A54" s="80">
        <v>48</v>
      </c>
      <c r="B54" s="81" t="str">
        <f t="shared" si="0"/>
        <v>Gio</v>
      </c>
      <c r="C54" s="82" t="str">
        <f t="shared" si="1"/>
        <v>Giu 26, 2014</v>
      </c>
      <c r="D54" s="83">
        <f t="shared" si="3"/>
        <v>0.875</v>
      </c>
      <c r="E54" s="84" t="str">
        <f>AC51</f>
        <v>Algeria</v>
      </c>
      <c r="F54" s="133"/>
      <c r="G54" s="133"/>
      <c r="H54" s="87" t="str">
        <f>AC52</f>
        <v>Russia</v>
      </c>
      <c r="I54" s="152" t="str">
        <f>INDEX(T,106,lang)</f>
        <v>Curitiba</v>
      </c>
      <c r="J54" s="153"/>
      <c r="K54" s="154"/>
      <c r="M54" s="24" t="str">
        <f>VLOOKUP(4,AB50:AL53,2,FALSE)</f>
        <v>Corea del Sud</v>
      </c>
      <c r="N54" s="31">
        <f>O54+P54+Q54</f>
        <v>0</v>
      </c>
      <c r="O54" s="31">
        <f>VLOOKUP(4,AB50:AL53,3,FALSE)</f>
        <v>0</v>
      </c>
      <c r="P54" s="31">
        <f>VLOOKUP(4,AB50:AL53,4,FALSE)</f>
        <v>0</v>
      </c>
      <c r="Q54" s="31">
        <f>VLOOKUP(4,AB50:AL53,5,FALSE)</f>
        <v>0</v>
      </c>
      <c r="R54" s="31" t="str">
        <f>VLOOKUP(4,AB50:AL53,6,FALSE) &amp; " - " &amp; VLOOKUP(4,AB50:AL53,7,FALSE)</f>
        <v>0 - 0</v>
      </c>
      <c r="S54" s="32">
        <f>O54*3+P54</f>
        <v>0</v>
      </c>
      <c r="U54" s="62">
        <f>DATE(2014,6,26)+TIME(9,0,0)+gmt_delta</f>
        <v>41816.875</v>
      </c>
      <c r="V54" s="68" t="str">
        <f t="shared" si="4"/>
        <v/>
      </c>
      <c r="W54" s="68" t="str">
        <f t="shared" si="2"/>
        <v/>
      </c>
      <c r="X54" s="63">
        <f t="shared" si="5"/>
        <v>0</v>
      </c>
      <c r="Y54" s="62">
        <f t="shared" si="6"/>
        <v>0</v>
      </c>
      <c r="Z54" s="62">
        <f t="shared" si="7"/>
        <v>0</v>
      </c>
      <c r="AD54" s="62">
        <f t="shared" ref="AD54:AM54" si="15">MAX(AD50:AD53)-MIN(AD50:AD53)+1</f>
        <v>1</v>
      </c>
      <c r="AE54" s="62">
        <f t="shared" si="15"/>
        <v>1</v>
      </c>
      <c r="AF54" s="62">
        <f t="shared" si="15"/>
        <v>1</v>
      </c>
      <c r="AG54" s="62">
        <f t="shared" si="15"/>
        <v>1</v>
      </c>
      <c r="AH54" s="62">
        <f t="shared" si="15"/>
        <v>1</v>
      </c>
      <c r="AI54" s="62">
        <f>MAX(AI50:AI53)-AI55+1</f>
        <v>1</v>
      </c>
      <c r="AJ54" s="62">
        <f>MAX(AJ50:AJ53)-AJ55+1</f>
        <v>1</v>
      </c>
      <c r="AL54" s="62">
        <f t="shared" si="15"/>
        <v>1</v>
      </c>
      <c r="AM54" s="62">
        <f t="shared" si="15"/>
        <v>1</v>
      </c>
      <c r="AQ54" s="62">
        <f>MAX(AQ50:AQ53)-MIN(AQ50:AQ53)+1</f>
        <v>1</v>
      </c>
      <c r="AR54" s="62">
        <f>MAX(AR50:AR53)-MIN(AR50:AR53)+1</f>
        <v>1</v>
      </c>
      <c r="AS54" s="62">
        <f>MAX(AS50:AS53)-MIN(AS50:AS53)+1</f>
        <v>1</v>
      </c>
      <c r="AT54" s="62">
        <f>MAX(AT50:AT53)-MIN(AT50:AT53)+1</f>
        <v>1</v>
      </c>
      <c r="AU54" s="62">
        <f>MAX(AU50:AU53)-MIN(AU50:AU53)+1</f>
        <v>1</v>
      </c>
    </row>
    <row r="55" spans="1:51" x14ac:dyDescent="0.2">
      <c r="A55" s="110"/>
      <c r="B55" s="111"/>
      <c r="C55" s="110"/>
      <c r="D55" s="112"/>
      <c r="E55" s="113"/>
      <c r="F55" s="120"/>
      <c r="G55" s="120"/>
      <c r="H55" s="114"/>
      <c r="I55" s="115"/>
      <c r="J55" s="116"/>
      <c r="K55" s="116"/>
      <c r="L55" s="117"/>
      <c r="M55" s="118"/>
      <c r="N55" s="110"/>
      <c r="O55" s="110"/>
      <c r="P55" s="110"/>
      <c r="Q55" s="110"/>
      <c r="R55" s="110"/>
      <c r="S55" s="110"/>
      <c r="AI55" s="62">
        <f>MIN(AI50:AI53)</f>
        <v>0</v>
      </c>
      <c r="AJ55" s="62">
        <f>MIN(AJ50:AJ53)</f>
        <v>0</v>
      </c>
    </row>
    <row r="56" spans="1:51" ht="12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</row>
    <row r="57" spans="1:51" ht="12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</row>
    <row r="58" spans="1:51" x14ac:dyDescent="0.2">
      <c r="U58" s="62">
        <f>DATE(2014,6,28)+TIME(5,0,0)+gmt_delta</f>
        <v>41818.708333333336</v>
      </c>
      <c r="V58" s="68" t="str">
        <f>IF(OR(F61="",G61=""),"",IF(F61&gt;G61,E61,IF(F61&lt;G61,H61,IF(OR(J61="",K61=""),"draw",IF(J61&gt;K61,E61,IF(J61&lt;K61,H61,"draw"))))))</f>
        <v/>
      </c>
      <c r="W58" s="68" t="str">
        <f>IF(OR(V58="",V58="draw"),INDEX(T,86,lang),V58)</f>
        <v>W49</v>
      </c>
    </row>
    <row r="59" spans="1:51" ht="12.75" customHeight="1" x14ac:dyDescent="0.2">
      <c r="A59" s="142" t="str">
        <f>INDEX(T,4,lang)</f>
        <v>Ottavi di finale</v>
      </c>
      <c r="B59" s="143"/>
      <c r="C59" s="143"/>
      <c r="D59" s="143"/>
      <c r="E59" s="143"/>
      <c r="F59" s="143"/>
      <c r="G59" s="143"/>
      <c r="H59" s="143"/>
      <c r="I59" s="143"/>
      <c r="J59" s="143"/>
      <c r="K59" s="144"/>
      <c r="U59" s="62">
        <f>DATE(2014,6,28)+TIME(9,0,0)+gmt_delta</f>
        <v>41818.875</v>
      </c>
      <c r="V59" s="68" t="str">
        <f t="shared" ref="V59:V65" si="16">IF(OR(F62="",G62=""),"",IF(F62&gt;G62,E62,IF(F62&lt;G62,H62,IF(OR(J62="",K62=""),"draw",IF(J62&gt;K62,E62,IF(J62&lt;K62,H62,"draw"))))))</f>
        <v/>
      </c>
      <c r="W59" s="68" t="str">
        <f>IF(OR(V59="",V59="draw"),INDEX(T,87,lang),V59)</f>
        <v>W50</v>
      </c>
    </row>
    <row r="60" spans="1:51" ht="12.75" customHeight="1" x14ac:dyDescent="0.2">
      <c r="A60" s="145"/>
      <c r="B60" s="146"/>
      <c r="C60" s="146"/>
      <c r="D60" s="146"/>
      <c r="E60" s="146"/>
      <c r="F60" s="146"/>
      <c r="G60" s="146"/>
      <c r="H60" s="146"/>
      <c r="I60" s="146"/>
      <c r="J60" s="146"/>
      <c r="K60" s="147"/>
      <c r="U60" s="62">
        <f>DATE(2014,6,29)+TIME(5,0,0)+gmt_delta</f>
        <v>41819.708333333336</v>
      </c>
      <c r="V60" s="68" t="str">
        <f t="shared" si="16"/>
        <v/>
      </c>
      <c r="W60" s="68" t="str">
        <f>IF(OR(V60="",V60="draw"),INDEX(T,88,lang),V60)</f>
        <v>W51</v>
      </c>
    </row>
    <row r="61" spans="1:51" ht="12.75" customHeight="1" x14ac:dyDescent="0.2">
      <c r="A61" s="88">
        <v>49</v>
      </c>
      <c r="B61" s="89" t="str">
        <f t="shared" ref="B61:B68" si="17">INDEX(T,18+INT(MOD(U58-1,7)),lang)</f>
        <v>Sab</v>
      </c>
      <c r="C61" s="90" t="str">
        <f t="shared" ref="C61:C68" si="18">INDEX(T,24+MONTH(U58),lang) &amp; " " &amp; DAY(U58) &amp; ", " &amp; YEAR(U58)</f>
        <v>Giu 28, 2014</v>
      </c>
      <c r="D61" s="91">
        <f>TIME(HOUR(U58),MINUTE(U58),0)</f>
        <v>0.70833333333333337</v>
      </c>
      <c r="E61" s="92" t="str">
        <f>AP8</f>
        <v>1A</v>
      </c>
      <c r="F61" s="58"/>
      <c r="G61" s="59"/>
      <c r="H61" s="95" t="str">
        <f>AP15</f>
        <v>2B</v>
      </c>
      <c r="I61" s="96" t="str">
        <f>INDEX(T,103,lang)</f>
        <v>Belo Horizonte</v>
      </c>
      <c r="J61" s="58"/>
      <c r="K61" s="59"/>
      <c r="U61" s="62">
        <f>DATE(2014,6,29)+TIME(9,0,0)+gmt_delta</f>
        <v>41819.875</v>
      </c>
      <c r="V61" s="68" t="str">
        <f t="shared" si="16"/>
        <v/>
      </c>
      <c r="W61" s="68" t="str">
        <f>IF(OR(V61="",V61="draw"),INDEX(T,89,lang),V61)</f>
        <v>W52</v>
      </c>
    </row>
    <row r="62" spans="1:51" ht="12.75" customHeight="1" x14ac:dyDescent="0.2">
      <c r="A62" s="75">
        <v>50</v>
      </c>
      <c r="B62" s="76" t="str">
        <f t="shared" si="17"/>
        <v>Sab</v>
      </c>
      <c r="C62" s="77" t="str">
        <f t="shared" si="18"/>
        <v>Giu 28, 2014</v>
      </c>
      <c r="D62" s="78">
        <f t="shared" ref="D62:D68" si="19">TIME(HOUR(U59),MINUTE(U59),0)</f>
        <v>0.875</v>
      </c>
      <c r="E62" s="93" t="str">
        <f>AP20</f>
        <v>1C</v>
      </c>
      <c r="F62" s="54"/>
      <c r="G62" s="55"/>
      <c r="H62" s="97" t="str">
        <f>AP27</f>
        <v>2D</v>
      </c>
      <c r="I62" s="98" t="str">
        <f>INDEX(T,112,lang)</f>
        <v>Rio De Janeiro</v>
      </c>
      <c r="J62" s="54"/>
      <c r="K62" s="55"/>
      <c r="U62" s="62">
        <f>DATE(2014,6,30)+TIME(5,0,0)+gmt_delta</f>
        <v>41820.708333333336</v>
      </c>
      <c r="V62" s="68" t="str">
        <f t="shared" si="16"/>
        <v/>
      </c>
      <c r="W62" s="68" t="str">
        <f>IF(OR(V62="",V62="draw"),INDEX(T,90,lang),V62)</f>
        <v>W53</v>
      </c>
    </row>
    <row r="63" spans="1:51" ht="12.75" customHeight="1" x14ac:dyDescent="0.2">
      <c r="A63" s="75">
        <v>51</v>
      </c>
      <c r="B63" s="76" t="str">
        <f t="shared" si="17"/>
        <v>Dom</v>
      </c>
      <c r="C63" s="77" t="str">
        <f t="shared" si="18"/>
        <v>Giu 29, 2014</v>
      </c>
      <c r="D63" s="78">
        <f t="shared" si="19"/>
        <v>0.70833333333333337</v>
      </c>
      <c r="E63" s="93" t="str">
        <f>AP14</f>
        <v>1B</v>
      </c>
      <c r="F63" s="54"/>
      <c r="G63" s="55"/>
      <c r="H63" s="97" t="str">
        <f>AP9</f>
        <v>2A</v>
      </c>
      <c r="I63" s="98" t="str">
        <f>INDEX(T,107,lang)</f>
        <v>Fortaleza</v>
      </c>
      <c r="J63" s="54"/>
      <c r="K63" s="55"/>
      <c r="U63" s="62">
        <f>DATE(2014,6,30)+TIME(9,0,0)+gmt_delta</f>
        <v>41820.875</v>
      </c>
      <c r="V63" s="68" t="str">
        <f t="shared" si="16"/>
        <v/>
      </c>
      <c r="W63" s="68" t="str">
        <f>IF(OR(V63="",V63="draw"),INDEX(T,91,lang),V63)</f>
        <v>W54</v>
      </c>
    </row>
    <row r="64" spans="1:51" ht="12.75" customHeight="1" x14ac:dyDescent="0.2">
      <c r="A64" s="75">
        <v>52</v>
      </c>
      <c r="B64" s="76" t="str">
        <f t="shared" si="17"/>
        <v>Dom</v>
      </c>
      <c r="C64" s="77" t="str">
        <f t="shared" si="18"/>
        <v>Giu 29, 2014</v>
      </c>
      <c r="D64" s="78">
        <f t="shared" si="19"/>
        <v>0.875</v>
      </c>
      <c r="E64" s="93" t="str">
        <f>AP26</f>
        <v>1D</v>
      </c>
      <c r="F64" s="54"/>
      <c r="G64" s="55"/>
      <c r="H64" s="97" t="str">
        <f>AP21</f>
        <v>2C</v>
      </c>
      <c r="I64" s="98" t="str">
        <f>INDEX(T,111,lang)</f>
        <v>Recife</v>
      </c>
      <c r="J64" s="54"/>
      <c r="K64" s="55"/>
      <c r="U64" s="62">
        <f>DATE(2014,7,1)+TIME(5,0,0)+gmt_delta</f>
        <v>41821.708333333336</v>
      </c>
      <c r="V64" s="68" t="str">
        <f t="shared" si="16"/>
        <v/>
      </c>
      <c r="W64" s="68" t="str">
        <f>IF(OR(V64="",V64="draw"),INDEX(T,92,lang),V64)</f>
        <v>W55</v>
      </c>
    </row>
    <row r="65" spans="1:27" ht="12.75" customHeight="1" x14ac:dyDescent="0.2">
      <c r="A65" s="75">
        <v>53</v>
      </c>
      <c r="B65" s="76" t="str">
        <f t="shared" si="17"/>
        <v>Lun</v>
      </c>
      <c r="C65" s="77" t="str">
        <f t="shared" si="18"/>
        <v>Giu 30, 2014</v>
      </c>
      <c r="D65" s="78">
        <f t="shared" si="19"/>
        <v>0.70833333333333337</v>
      </c>
      <c r="E65" s="93" t="str">
        <f>AP32</f>
        <v>1E</v>
      </c>
      <c r="F65" s="54"/>
      <c r="G65" s="55"/>
      <c r="H65" s="97" t="str">
        <f>AP39</f>
        <v>2F</v>
      </c>
      <c r="I65" s="98" t="str">
        <f>INDEX(T,104,lang)</f>
        <v>Brasilia</v>
      </c>
      <c r="J65" s="54"/>
      <c r="K65" s="55"/>
      <c r="U65" s="62">
        <f>DATE(2014,7,1)+TIME(9,0,0)+gmt_delta</f>
        <v>41821.875</v>
      </c>
      <c r="V65" s="68" t="str">
        <f t="shared" si="16"/>
        <v/>
      </c>
      <c r="W65" s="68" t="str">
        <f>IF(OR(V65="",V65="draw"),INDEX(T,93,lang),V65)</f>
        <v>W56</v>
      </c>
    </row>
    <row r="66" spans="1:27" ht="12.75" customHeight="1" x14ac:dyDescent="0.2">
      <c r="A66" s="75">
        <v>54</v>
      </c>
      <c r="B66" s="76" t="str">
        <f t="shared" si="17"/>
        <v>Lun</v>
      </c>
      <c r="C66" s="77" t="str">
        <f t="shared" si="18"/>
        <v>Giu 30, 2014</v>
      </c>
      <c r="D66" s="78">
        <f t="shared" si="19"/>
        <v>0.875</v>
      </c>
      <c r="E66" s="93" t="str">
        <f>AP44</f>
        <v>1G</v>
      </c>
      <c r="F66" s="54"/>
      <c r="G66" s="55"/>
      <c r="H66" s="97" t="str">
        <f>AP51</f>
        <v>2H</v>
      </c>
      <c r="I66" s="98" t="str">
        <f>INDEX(T,110,lang)</f>
        <v>Porto Alegre</v>
      </c>
      <c r="J66" s="54"/>
      <c r="K66" s="55"/>
    </row>
    <row r="67" spans="1:27" ht="12.75" customHeight="1" x14ac:dyDescent="0.2">
      <c r="A67" s="75">
        <v>55</v>
      </c>
      <c r="B67" s="76" t="str">
        <f t="shared" si="17"/>
        <v>Mar</v>
      </c>
      <c r="C67" s="77" t="str">
        <f t="shared" si="18"/>
        <v>Lug 1, 2014</v>
      </c>
      <c r="D67" s="78">
        <f t="shared" si="19"/>
        <v>0.70833333333333337</v>
      </c>
      <c r="E67" s="93" t="str">
        <f>AP38</f>
        <v>1F</v>
      </c>
      <c r="F67" s="54"/>
      <c r="G67" s="55"/>
      <c r="H67" s="97" t="str">
        <f>AP33</f>
        <v>2E</v>
      </c>
      <c r="I67" s="98" t="str">
        <f>INDEX(T,114,lang)</f>
        <v>Sao Paulo</v>
      </c>
      <c r="J67" s="54"/>
      <c r="K67" s="55"/>
    </row>
    <row r="68" spans="1:27" ht="12.75" customHeight="1" x14ac:dyDescent="0.2">
      <c r="A68" s="80">
        <v>56</v>
      </c>
      <c r="B68" s="81" t="str">
        <f t="shared" si="17"/>
        <v>Mar</v>
      </c>
      <c r="C68" s="82" t="str">
        <f t="shared" si="18"/>
        <v>Lug 1, 2014</v>
      </c>
      <c r="D68" s="83">
        <f t="shared" si="19"/>
        <v>0.875</v>
      </c>
      <c r="E68" s="94" t="str">
        <f>AP50</f>
        <v>1H</v>
      </c>
      <c r="F68" s="56"/>
      <c r="G68" s="57"/>
      <c r="H68" s="99" t="str">
        <f>AP45</f>
        <v>2G</v>
      </c>
      <c r="I68" s="100" t="str">
        <f>INDEX(T,113,lang)</f>
        <v>Salvador</v>
      </c>
      <c r="J68" s="56"/>
      <c r="K68" s="57"/>
    </row>
    <row r="69" spans="1:27" ht="12.75" customHeight="1" x14ac:dyDescent="0.2">
      <c r="U69" s="62">
        <f>DATE(2014,7,4)+TIME(9,0,0)+gmt_delta</f>
        <v>41824.875</v>
      </c>
      <c r="V69" s="68" t="str">
        <f>IF(OR(F72="",G72=""),"",IF(F72&gt;G72,E72,IF(F72&lt;G72,H72,IF(OR(J72="",K72=""),"draw",IF(J72&gt;K72,E72,IF(J72&lt;K72,H72,"draw"))))))</f>
        <v/>
      </c>
      <c r="W69" s="68" t="str">
        <f>IF(OR(V69="",V69="draw"),INDEX(T,94,lang),V69)</f>
        <v>W57</v>
      </c>
    </row>
    <row r="70" spans="1:27" ht="12.75" customHeight="1" x14ac:dyDescent="0.2">
      <c r="A70" s="142" t="str">
        <f>INDEX(T,5,lang)</f>
        <v>Quarti di finale</v>
      </c>
      <c r="B70" s="143"/>
      <c r="C70" s="143"/>
      <c r="D70" s="143"/>
      <c r="E70" s="143"/>
      <c r="F70" s="143"/>
      <c r="G70" s="143"/>
      <c r="H70" s="143"/>
      <c r="I70" s="143"/>
      <c r="J70" s="143"/>
      <c r="K70" s="144"/>
      <c r="U70" s="62">
        <f>DATE(2014,7,4)+TIME(5,0,0)+gmt_delta</f>
        <v>41824.708333333336</v>
      </c>
      <c r="V70" s="68" t="str">
        <f>IF(OR(F73="",G73=""),"",IF(F73&gt;G73,E73,IF(F73&lt;G73,H73,IF(OR(J73="",K73=""),"draw",IF(J73&gt;K73,E73,IF(J73&lt;K73,H73,"draw"))))))</f>
        <v/>
      </c>
      <c r="W70" s="68" t="str">
        <f>IF(OR(V70="",V70="draw"),INDEX(T,95,lang),V70)</f>
        <v>W58</v>
      </c>
    </row>
    <row r="71" spans="1:27" ht="12.75" customHeight="1" x14ac:dyDescent="0.2">
      <c r="A71" s="145"/>
      <c r="B71" s="146"/>
      <c r="C71" s="146"/>
      <c r="D71" s="146"/>
      <c r="E71" s="146"/>
      <c r="F71" s="146"/>
      <c r="G71" s="146"/>
      <c r="H71" s="146"/>
      <c r="I71" s="146"/>
      <c r="J71" s="146"/>
      <c r="K71" s="147"/>
      <c r="N71" s="25"/>
      <c r="O71" s="25"/>
      <c r="P71" s="25"/>
      <c r="Q71" s="25"/>
      <c r="R71" s="25"/>
      <c r="S71" s="25"/>
      <c r="U71" s="62">
        <f>DATE(2014,7,5)+TIME(9,0,0)+gmt_delta</f>
        <v>41825.875</v>
      </c>
      <c r="V71" s="68" t="str">
        <f>IF(OR(F74="",G74=""),"",IF(F74&gt;G74,E74,IF(F74&lt;G74,H74,IF(OR(J74="",K74=""),"draw",IF(J74&gt;K74,E74,IF(J74&lt;K74,H74,"draw"))))))</f>
        <v/>
      </c>
      <c r="W71" s="68" t="str">
        <f>IF(OR(V71="",V71="draw"),INDEX(T,96,lang),V71)</f>
        <v>W59</v>
      </c>
    </row>
    <row r="72" spans="1:27" ht="12.75" customHeight="1" x14ac:dyDescent="0.2">
      <c r="A72" s="88">
        <v>57</v>
      </c>
      <c r="B72" s="104" t="str">
        <f>INDEX(T,18+INT(MOD(U69-1,7)),lang)</f>
        <v>Ven</v>
      </c>
      <c r="C72" s="90" t="str">
        <f>INDEX(T,24+MONTH(U69),lang) &amp; " " &amp; DAY(U69) &amp; ", " &amp; YEAR(U69)</f>
        <v>Lug 4, 2014</v>
      </c>
      <c r="D72" s="91">
        <f>TIME(HOUR(U69),MINUTE(U69),0)</f>
        <v>0.875</v>
      </c>
      <c r="E72" s="92" t="str">
        <f>W58</f>
        <v>W49</v>
      </c>
      <c r="F72" s="58"/>
      <c r="G72" s="59"/>
      <c r="H72" s="95" t="str">
        <f>W59</f>
        <v>W50</v>
      </c>
      <c r="I72" s="101" t="str">
        <f>INDEX(T,107,lang)</f>
        <v>Fortaleza</v>
      </c>
      <c r="J72" s="58"/>
      <c r="K72" s="59"/>
      <c r="N72" s="25"/>
      <c r="O72" s="25"/>
      <c r="P72" s="25"/>
      <c r="Q72" s="25"/>
      <c r="R72" s="25"/>
      <c r="S72" s="25"/>
      <c r="U72" s="62">
        <f>DATE(2014,7,5)+TIME(5,0,0)+gmt_delta</f>
        <v>41825.708333333336</v>
      </c>
      <c r="V72" s="68" t="str">
        <f>IF(OR(F75="",G75=""),"",IF(F75&gt;G75,E75,IF(F75&lt;G75,H75,IF(OR(J75="",K75=""),"draw",IF(J75&gt;K75,E75,IF(J75&lt;K75,H75,"draw"))))))</f>
        <v/>
      </c>
      <c r="W72" s="68" t="str">
        <f>IF(OR(V72="",V72="draw"),INDEX(T,97,lang),V72)</f>
        <v>W60</v>
      </c>
    </row>
    <row r="73" spans="1:27" ht="12.75" customHeight="1" x14ac:dyDescent="0.2">
      <c r="A73" s="75">
        <v>58</v>
      </c>
      <c r="B73" s="105" t="str">
        <f>INDEX(T,18+INT(MOD(U70-1,7)),lang)</f>
        <v>Ven</v>
      </c>
      <c r="C73" s="77" t="str">
        <f>INDEX(T,24+MONTH(U70),lang) &amp; " " &amp; DAY(U70) &amp; ", " &amp; YEAR(U70)</f>
        <v>Lug 4, 2014</v>
      </c>
      <c r="D73" s="78">
        <f>TIME(HOUR(U70),MINUTE(U70),0)</f>
        <v>0.70833333333333337</v>
      </c>
      <c r="E73" s="93" t="str">
        <f>W62</f>
        <v>W53</v>
      </c>
      <c r="F73" s="54"/>
      <c r="G73" s="55"/>
      <c r="H73" s="97" t="str">
        <f>W63</f>
        <v>W54</v>
      </c>
      <c r="I73" s="98" t="str">
        <f>INDEX(T,112,lang)</f>
        <v>Rio De Janeiro</v>
      </c>
      <c r="J73" s="54"/>
      <c r="K73" s="55"/>
      <c r="N73" s="25"/>
      <c r="O73" s="25"/>
      <c r="P73" s="25"/>
      <c r="Q73" s="25"/>
      <c r="R73" s="25"/>
      <c r="S73" s="25"/>
    </row>
    <row r="74" spans="1:27" ht="12.75" customHeight="1" x14ac:dyDescent="0.2">
      <c r="A74" s="75">
        <v>59</v>
      </c>
      <c r="B74" s="105" t="str">
        <f>INDEX(T,18+INT(MOD(U71-1,7)),lang)</f>
        <v>Sab</v>
      </c>
      <c r="C74" s="77" t="str">
        <f>INDEX(T,24+MONTH(U71),lang) &amp; " " &amp; DAY(U71) &amp; ", " &amp; YEAR(U71)</f>
        <v>Lug 5, 2014</v>
      </c>
      <c r="D74" s="78">
        <f>TIME(HOUR(U71),MINUTE(U71),0)</f>
        <v>0.875</v>
      </c>
      <c r="E74" s="93" t="str">
        <f>W60</f>
        <v>W51</v>
      </c>
      <c r="F74" s="54"/>
      <c r="G74" s="55"/>
      <c r="H74" s="97" t="str">
        <f>W61</f>
        <v>W52</v>
      </c>
      <c r="I74" s="102" t="str">
        <f>INDEX(T,113,lang)</f>
        <v>Salvador</v>
      </c>
      <c r="J74" s="54"/>
      <c r="K74" s="55"/>
      <c r="N74" s="25"/>
      <c r="O74" s="25"/>
      <c r="P74" s="25"/>
      <c r="Q74" s="25"/>
      <c r="R74" s="25"/>
      <c r="S74" s="25"/>
    </row>
    <row r="75" spans="1:27" ht="12.75" customHeight="1" x14ac:dyDescent="0.2">
      <c r="A75" s="80">
        <v>60</v>
      </c>
      <c r="B75" s="106" t="str">
        <f>INDEX(T,18+INT(MOD(U72-1,7)),lang)</f>
        <v>Sab</v>
      </c>
      <c r="C75" s="82" t="str">
        <f>INDEX(T,24+MONTH(U72),lang) &amp; " " &amp; DAY(U72) &amp; ", " &amp; YEAR(U72)</f>
        <v>Lug 5, 2014</v>
      </c>
      <c r="D75" s="83">
        <f>TIME(HOUR(U72),MINUTE(U72),0)</f>
        <v>0.70833333333333337</v>
      </c>
      <c r="E75" s="94" t="str">
        <f>W64</f>
        <v>W55</v>
      </c>
      <c r="F75" s="56"/>
      <c r="G75" s="57"/>
      <c r="H75" s="99" t="str">
        <f>W65</f>
        <v>W56</v>
      </c>
      <c r="I75" s="103" t="str">
        <f>INDEX(T,104,lang)</f>
        <v>Brasilia</v>
      </c>
      <c r="J75" s="56"/>
      <c r="K75" s="57"/>
    </row>
    <row r="76" spans="1:27" ht="12.75" customHeight="1" x14ac:dyDescent="0.2">
      <c r="U76" s="62">
        <f>DATE(2014,7,8)+TIME(9,0,0)+gmt_delta</f>
        <v>41828.875</v>
      </c>
      <c r="V76" s="68" t="str">
        <f>IF(OR(F79="",G79=""),"",IF(F79&gt;G79,E79,IF(F79&lt;G79,H79,IF(OR(J79="",K79=""),"draw",IF(J79&gt;K79,E79,IF(J79&lt;K79,H79,"draw"))))))</f>
        <v/>
      </c>
      <c r="W76" s="68" t="str">
        <f>IF(OR(V76="",V76="draw"),INDEX(T,98,lang),V76)</f>
        <v>W61</v>
      </c>
      <c r="X76" s="68" t="str">
        <f>IF(OR(F79="",G79=""),"",IF(F79&lt;G79,E79,IF(F79&gt;G79,H79,IF(OR(J79="",K79=""),"draw",IF(J79&lt;K79,E79,IF(J79&gt;K79,H79,"draw"))))))</f>
        <v/>
      </c>
      <c r="AA76" s="68" t="str">
        <f>IF(OR(X76="",X76="draw"),INDEX(T,100,lang),X76)</f>
        <v>L61</v>
      </c>
    </row>
    <row r="77" spans="1:27" ht="12.75" customHeight="1" x14ac:dyDescent="0.2">
      <c r="A77" s="142" t="str">
        <f>INDEX(T,6,lang)</f>
        <v>Semifinali</v>
      </c>
      <c r="B77" s="143"/>
      <c r="C77" s="143"/>
      <c r="D77" s="143"/>
      <c r="E77" s="143"/>
      <c r="F77" s="143"/>
      <c r="G77" s="143"/>
      <c r="H77" s="143"/>
      <c r="I77" s="143"/>
      <c r="J77" s="143"/>
      <c r="K77" s="144"/>
      <c r="U77" s="62">
        <f>DATE(2014,7,9)+TIME(9,0,0)+gmt_delta</f>
        <v>41829.875</v>
      </c>
      <c r="V77" s="68" t="str">
        <f>IF(OR(F80="",G80=""),"",IF(F80&gt;G80,E80,IF(F80&lt;G80,H80,IF(OR(J80="",K80=""),"draw",IF(J80&gt;K80,E80,IF(J80&lt;K80,H80,"draw"))))))</f>
        <v/>
      </c>
      <c r="W77" s="68" t="str">
        <f>IF(OR(V77="",V77="draw"),INDEX(T,99,lang),V77)</f>
        <v>W62</v>
      </c>
      <c r="X77" s="68" t="str">
        <f>IF(OR(F80="",G80=""),"",IF(F80&lt;G80,E80,IF(F80&gt;G80,H80,IF(OR(J80="",K80=""),"draw",IF(J80&lt;K80,E80,IF(J80&gt;K80,H80,"draw"))))))</f>
        <v/>
      </c>
      <c r="AA77" s="68" t="str">
        <f>IF(OR(X77="",X77="draw"),INDEX(T,101,lang),X77)</f>
        <v>L62</v>
      </c>
    </row>
    <row r="78" spans="1:27" x14ac:dyDescent="0.2">
      <c r="A78" s="145"/>
      <c r="B78" s="146"/>
      <c r="C78" s="146"/>
      <c r="D78" s="146"/>
      <c r="E78" s="146"/>
      <c r="F78" s="146"/>
      <c r="G78" s="146"/>
      <c r="H78" s="146"/>
      <c r="I78" s="146"/>
      <c r="J78" s="146"/>
      <c r="K78" s="147"/>
    </row>
    <row r="79" spans="1:27" ht="12.75" customHeight="1" x14ac:dyDescent="0.2">
      <c r="A79" s="88">
        <v>61</v>
      </c>
      <c r="B79" s="104" t="str">
        <f>INDEX(T,18+INT(MOD(U76-1,7)),lang)</f>
        <v>Mar</v>
      </c>
      <c r="C79" s="90" t="str">
        <f>INDEX(T,24+MONTH(U76),lang) &amp; " " &amp; DAY(U76) &amp; ", " &amp; YEAR(U76)</f>
        <v>Lug 8, 2014</v>
      </c>
      <c r="D79" s="91">
        <f>TIME(HOUR(U76),MINUTE(U76),0)</f>
        <v>0.875</v>
      </c>
      <c r="E79" s="92" t="str">
        <f>W69</f>
        <v>W57</v>
      </c>
      <c r="F79" s="58"/>
      <c r="G79" s="59"/>
      <c r="H79" s="95" t="str">
        <f>W70</f>
        <v>W58</v>
      </c>
      <c r="I79" s="101" t="str">
        <f>INDEX(T,103,lang)</f>
        <v>Belo Horizonte</v>
      </c>
      <c r="J79" s="58"/>
      <c r="K79" s="59"/>
    </row>
    <row r="80" spans="1:27" ht="12.75" customHeight="1" x14ac:dyDescent="0.2">
      <c r="A80" s="80">
        <v>62</v>
      </c>
      <c r="B80" s="106" t="str">
        <f>INDEX(T,18+INT(MOD(U77-1,7)),lang)</f>
        <v>Mer</v>
      </c>
      <c r="C80" s="82" t="str">
        <f>INDEX(T,24+MONTH(U77),lang) &amp; " " &amp; DAY(U77) &amp; ", " &amp; YEAR(U77)</f>
        <v>Lug 9, 2014</v>
      </c>
      <c r="D80" s="83">
        <f>TIME(HOUR(U77),MINUTE(U77),0)</f>
        <v>0.875</v>
      </c>
      <c r="E80" s="94" t="str">
        <f>W71</f>
        <v>W59</v>
      </c>
      <c r="F80" s="56"/>
      <c r="G80" s="57"/>
      <c r="H80" s="99" t="str">
        <f>W72</f>
        <v>W60</v>
      </c>
      <c r="I80" s="103" t="str">
        <f>INDEX(T,114,lang)</f>
        <v>Sao Paulo</v>
      </c>
      <c r="J80" s="56"/>
      <c r="K80" s="57"/>
    </row>
    <row r="81" spans="1:23" x14ac:dyDescent="0.2">
      <c r="U81" s="62">
        <f>DATE(2014,7,12)+TIME(9,0,0)+gmt_delta</f>
        <v>41832.875</v>
      </c>
      <c r="W81" s="68" t="str">
        <f>IF(OR(F84="",G84=""),"",IF(F84&gt;G84,E84,IF(F84&lt;G84,H84,IF(OR(J84="",K84=""),"",IF(J84&gt;K84,E84,IF(J84&lt;K84,H84,""))))))</f>
        <v/>
      </c>
    </row>
    <row r="82" spans="1:23" x14ac:dyDescent="0.2">
      <c r="A82" s="142" t="str">
        <f>INDEX(T,7,lang)</f>
        <v>Finale 3°- 4° posto</v>
      </c>
      <c r="B82" s="143"/>
      <c r="C82" s="143"/>
      <c r="D82" s="143"/>
      <c r="E82" s="143"/>
      <c r="F82" s="143"/>
      <c r="G82" s="143"/>
      <c r="H82" s="143"/>
      <c r="I82" s="143"/>
      <c r="J82" s="143"/>
      <c r="K82" s="144"/>
    </row>
    <row r="83" spans="1:23" ht="12.75" customHeight="1" x14ac:dyDescent="0.2">
      <c r="A83" s="145"/>
      <c r="B83" s="146"/>
      <c r="C83" s="146"/>
      <c r="D83" s="146"/>
      <c r="E83" s="146"/>
      <c r="F83" s="146"/>
      <c r="G83" s="146"/>
      <c r="H83" s="146"/>
      <c r="I83" s="146"/>
      <c r="J83" s="146"/>
      <c r="K83" s="147"/>
    </row>
    <row r="84" spans="1:23" ht="12.75" customHeight="1" x14ac:dyDescent="0.2">
      <c r="A84" s="80">
        <v>63</v>
      </c>
      <c r="B84" s="106" t="str">
        <f>INDEX(T,18+INT(MOD(U81-1,7)),lang)</f>
        <v>Sab</v>
      </c>
      <c r="C84" s="82" t="str">
        <f>INDEX(T,24+MONTH(U81),lang) &amp; " " &amp; DAY(U81) &amp; ", " &amp; YEAR(U81)</f>
        <v>Lug 12, 2014</v>
      </c>
      <c r="D84" s="83">
        <f>TIME(HOUR(U81),MINUTE(U81),0)</f>
        <v>0.875</v>
      </c>
      <c r="E84" s="109" t="str">
        <f>AA76</f>
        <v>L61</v>
      </c>
      <c r="F84" s="60"/>
      <c r="G84" s="61"/>
      <c r="H84" s="107" t="str">
        <f>AA77</f>
        <v>L62</v>
      </c>
      <c r="I84" s="108" t="str">
        <f>INDEX(T,104,lang)</f>
        <v>Brasilia</v>
      </c>
      <c r="J84" s="60"/>
      <c r="K84" s="61"/>
    </row>
    <row r="85" spans="1:23" x14ac:dyDescent="0.2">
      <c r="U85" s="62">
        <f>DATE(2014,7,13)+TIME(8,0,0)+gmt_delta</f>
        <v>41833.833333333336</v>
      </c>
      <c r="V85" s="68" t="str">
        <f>IF(OR(F88="",G88=""),"",IF(F88&gt;G88,E88,IF(F88&lt;G88,H88,IF(OR(J88="",K88=""),"",IF(J88&gt;K88,E88,IF(J88&lt;K88,H88,""))))))</f>
        <v/>
      </c>
      <c r="W85" s="68" t="str">
        <f>V85</f>
        <v/>
      </c>
    </row>
    <row r="86" spans="1:23" x14ac:dyDescent="0.2">
      <c r="A86" s="142" t="str">
        <f>INDEX(T,8,lang)</f>
        <v>Finale</v>
      </c>
      <c r="B86" s="143"/>
      <c r="C86" s="143"/>
      <c r="D86" s="143"/>
      <c r="E86" s="143"/>
      <c r="F86" s="143"/>
      <c r="G86" s="143"/>
      <c r="H86" s="143"/>
      <c r="I86" s="143"/>
      <c r="J86" s="143"/>
      <c r="K86" s="144"/>
    </row>
    <row r="87" spans="1:23" ht="12.75" customHeight="1" x14ac:dyDescent="0.2">
      <c r="A87" s="145"/>
      <c r="B87" s="146"/>
      <c r="C87" s="146"/>
      <c r="D87" s="146"/>
      <c r="E87" s="146"/>
      <c r="F87" s="146"/>
      <c r="G87" s="146"/>
      <c r="H87" s="146"/>
      <c r="I87" s="146"/>
      <c r="J87" s="146"/>
      <c r="K87" s="147"/>
    </row>
    <row r="88" spans="1:23" ht="12.75" customHeight="1" x14ac:dyDescent="0.2">
      <c r="A88" s="80">
        <v>64</v>
      </c>
      <c r="B88" s="106" t="str">
        <f>INDEX(T,18+INT(MOD(U85-1,7)),lang)</f>
        <v>Dom</v>
      </c>
      <c r="C88" s="82" t="str">
        <f>INDEX(T,24+MONTH(U85),lang) &amp; " " &amp; DAY(U85) &amp; ", " &amp; YEAR(U85)</f>
        <v>Lug 13, 2014</v>
      </c>
      <c r="D88" s="83">
        <f>TIME(HOUR(U85),MINUTE(U85),0)</f>
        <v>0.83333333333333337</v>
      </c>
      <c r="E88" s="109" t="str">
        <f>W76</f>
        <v>W61</v>
      </c>
      <c r="F88" s="60"/>
      <c r="G88" s="61"/>
      <c r="H88" s="107" t="str">
        <f>W77</f>
        <v>W62</v>
      </c>
      <c r="I88" s="108" t="str">
        <f>INDEX(T,112,lang)</f>
        <v>Rio De Janeiro</v>
      </c>
      <c r="J88" s="60"/>
      <c r="K88" s="61"/>
    </row>
    <row r="89" spans="1:23" ht="13.5" thickBot="1" x14ac:dyDescent="0.25"/>
    <row r="90" spans="1:23" x14ac:dyDescent="0.2">
      <c r="A90" s="148" t="str">
        <f>INDEX(T,102,lang)</f>
        <v>Coppa del Mondo 2014</v>
      </c>
      <c r="B90" s="148"/>
      <c r="C90" s="148"/>
      <c r="D90" s="148"/>
      <c r="E90" s="148"/>
      <c r="F90" s="150" t="str">
        <f>V85</f>
        <v/>
      </c>
      <c r="G90" s="150"/>
      <c r="H90" s="150"/>
      <c r="I90" s="150"/>
      <c r="J90" s="150"/>
      <c r="K90" s="150"/>
    </row>
    <row r="91" spans="1:23" x14ac:dyDescent="0.2">
      <c r="A91" s="149"/>
      <c r="B91" s="149"/>
      <c r="C91" s="149"/>
      <c r="D91" s="149"/>
      <c r="E91" s="149"/>
      <c r="F91" s="151"/>
      <c r="G91" s="151"/>
      <c r="H91" s="151"/>
      <c r="I91" s="151"/>
      <c r="J91" s="151"/>
      <c r="K91" s="151"/>
    </row>
    <row r="96" spans="1:23" ht="12.75" customHeight="1" x14ac:dyDescent="0.2"/>
    <row r="97" ht="12.75" customHeight="1" x14ac:dyDescent="0.2"/>
  </sheetData>
  <sheetProtection password="E8D2" sheet="1" objects="1" scenarios="1"/>
  <mergeCells count="58">
    <mergeCell ref="I7:K7"/>
    <mergeCell ref="I16:K16"/>
    <mergeCell ref="I12:K12"/>
    <mergeCell ref="I14:K14"/>
    <mergeCell ref="I15:K15"/>
    <mergeCell ref="I9:K9"/>
    <mergeCell ref="I11:K11"/>
    <mergeCell ref="I10:K10"/>
    <mergeCell ref="I13:K13"/>
    <mergeCell ref="I8:K8"/>
    <mergeCell ref="A90:E91"/>
    <mergeCell ref="F90:K91"/>
    <mergeCell ref="I23:K23"/>
    <mergeCell ref="I24:K24"/>
    <mergeCell ref="I28:K28"/>
    <mergeCell ref="I36:K36"/>
    <mergeCell ref="I29:K29"/>
    <mergeCell ref="I33:K33"/>
    <mergeCell ref="A82:K83"/>
    <mergeCell ref="A86:K87"/>
    <mergeCell ref="I50:K50"/>
    <mergeCell ref="I51:K51"/>
    <mergeCell ref="I54:K54"/>
    <mergeCell ref="A77:K78"/>
    <mergeCell ref="I52:K52"/>
    <mergeCell ref="I43:K43"/>
    <mergeCell ref="A70:K71"/>
    <mergeCell ref="I47:K47"/>
    <mergeCell ref="I53:K53"/>
    <mergeCell ref="A59:K60"/>
    <mergeCell ref="I48:K48"/>
    <mergeCell ref="I49:K49"/>
    <mergeCell ref="I32:K32"/>
    <mergeCell ref="I44:K44"/>
    <mergeCell ref="I17:K17"/>
    <mergeCell ref="I18:K18"/>
    <mergeCell ref="I20:K20"/>
    <mergeCell ref="I22:K22"/>
    <mergeCell ref="I25:K25"/>
    <mergeCell ref="I30:K30"/>
    <mergeCell ref="I31:K31"/>
    <mergeCell ref="I21:K21"/>
    <mergeCell ref="I19:K19"/>
    <mergeCell ref="I39:K39"/>
    <mergeCell ref="I27:K27"/>
    <mergeCell ref="I34:K34"/>
    <mergeCell ref="I26:K26"/>
    <mergeCell ref="A1:S1"/>
    <mergeCell ref="R3:S3"/>
    <mergeCell ref="A5:K6"/>
    <mergeCell ref="I46:K46"/>
    <mergeCell ref="I38:K38"/>
    <mergeCell ref="I35:K35"/>
    <mergeCell ref="I37:K37"/>
    <mergeCell ref="I40:K40"/>
    <mergeCell ref="I42:K42"/>
    <mergeCell ref="I45:K45"/>
    <mergeCell ref="I41:K41"/>
  </mergeCells>
  <phoneticPr fontId="3" type="noConversion"/>
  <conditionalFormatting sqref="F84 F88 F72:F75 F79:F80 F61:F68 F55">
    <cfRule type="expression" dxfId="29" priority="30" stopIfTrue="1">
      <formula>IF(AND($F55&gt;$G55,ISNUMBER($F55),ISNUMBER($G55)),1,0)</formula>
    </cfRule>
  </conditionalFormatting>
  <conditionalFormatting sqref="G84 G88 G72:G75 G79:G80 G61:G68 G55">
    <cfRule type="expression" dxfId="28" priority="31" stopIfTrue="1">
      <formula>IF(AND($F55&lt;$G55,ISNUMBER($F55),ISNUMBER($G55)),1,0)</formula>
    </cfRule>
  </conditionalFormatting>
  <conditionalFormatting sqref="M15:S15 M9:S9 M45:S45 M21:S21 M27:S27 M33:S33 M39:S39 M51:S51">
    <cfRule type="expression" dxfId="27" priority="38" stopIfTrue="1">
      <formula>IF(SUM($N9:$N12)=12,1,0)</formula>
    </cfRule>
  </conditionalFormatting>
  <conditionalFormatting sqref="M16:S16 M10:S10 M46:S46 M22:S22 M28:S28 M34:S34 M40:S40 M52:S52">
    <cfRule type="expression" dxfId="26" priority="39" stopIfTrue="1">
      <formula>IF(SUM($N9:$N12)=12,1,0)</formula>
    </cfRule>
  </conditionalFormatting>
  <conditionalFormatting sqref="M18:S18 M12:S12 M48:S48 M24:S24 M30:S30 M36:S36 M42:S42 M54:S55">
    <cfRule type="expression" dxfId="25" priority="41" stopIfTrue="1">
      <formula>IF(SUM($N9:$N12)=12,1,0)</formula>
    </cfRule>
  </conditionalFormatting>
  <conditionalFormatting sqref="M11:S11 M17:S17 M23:S23 M29:S29 M35:S35 M41:S41 M47:S47 M53:S53">
    <cfRule type="expression" dxfId="24" priority="49" stopIfTrue="1">
      <formula>IF(SUM($N9:$N12)=12,1,0)</formula>
    </cfRule>
  </conditionalFormatting>
  <conditionalFormatting sqref="E7:E55">
    <cfRule type="expression" dxfId="23" priority="56" stopIfTrue="1">
      <formula>IF(AND($F7&gt;$G7,ISNUMBER($F7),ISNUMBER($G7)),1,0)</formula>
    </cfRule>
    <cfRule type="expression" dxfId="22" priority="57" stopIfTrue="1">
      <formula>IF(AND($F7&lt;$G7,ISNUMBER($F7),ISNUMBER($G7)),1,0)</formula>
    </cfRule>
    <cfRule type="expression" dxfId="21" priority="58" stopIfTrue="1">
      <formula>IF(AND($F7=$G7,ISNUMBER($F7),ISNUMBER($G7)),1,0)</formula>
    </cfRule>
  </conditionalFormatting>
  <conditionalFormatting sqref="H7:H55">
    <cfRule type="expression" dxfId="20" priority="59" stopIfTrue="1">
      <formula>IF(AND($F7&lt;$G7,ISNUMBER($F7),ISNUMBER($G7)),1,0)</formula>
    </cfRule>
    <cfRule type="expression" dxfId="19" priority="60" stopIfTrue="1">
      <formula>IF(AND($F7&gt;$G7,ISNUMBER($F7),ISNUMBER($G7)),1,0)</formula>
    </cfRule>
    <cfRule type="expression" dxfId="18" priority="61" stopIfTrue="1">
      <formula>IF(AND($F7=$G7,ISNUMBER($F7),ISNUMBER($G7)),1,0)</formula>
    </cfRule>
  </conditionalFormatting>
  <conditionalFormatting sqref="J61:J68 J72:J75 J79:J80 J84 J88">
    <cfRule type="expression" dxfId="17" priority="66" stopIfTrue="1">
      <formula>IF(AND($J61&gt;$K61,ISNUMBER($J61),ISNUMBER($K61)),1,0)</formula>
    </cfRule>
  </conditionalFormatting>
  <conditionalFormatting sqref="K61:K68 K72:K75 K79:K80 K84 K88">
    <cfRule type="expression" dxfId="16" priority="67" stopIfTrue="1">
      <formula>IF(AND($J61&lt;$K61,ISNUMBER($J61),ISNUMBER($K61)),1,0)</formula>
    </cfRule>
  </conditionalFormatting>
  <conditionalFormatting sqref="E72:E75 E61:E68 E79:E80 E84 E88">
    <cfRule type="expression" dxfId="15" priority="90" stopIfTrue="1">
      <formula>IF($E61=$W58,1,0)</formula>
    </cfRule>
    <cfRule type="expression" dxfId="14" priority="91" stopIfTrue="1">
      <formula>IF($H61=$W58,1,0)</formula>
    </cfRule>
  </conditionalFormatting>
  <conditionalFormatting sqref="H72:H75 H61:H68 H79:H80 H84 H88">
    <cfRule type="expression" dxfId="13" priority="100" stopIfTrue="1">
      <formula>IF($H61=$W58,1,0)</formula>
    </cfRule>
    <cfRule type="expression" dxfId="12" priority="101" stopIfTrue="1">
      <formula>IF($E61=$W58,1,0)</formula>
    </cfRule>
  </conditionalFormatting>
  <dataValidations count="2">
    <dataValidation type="list" allowBlank="1" showInputMessage="1" showErrorMessage="1" sqref="F61:G68 F72:G75 F79:G80 F84:G84 F88:G88 F7:G55">
      <formula1>"0,1,2,3,4,5,6,7,8,9"</formula1>
    </dataValidation>
    <dataValidation type="list" allowBlank="1" showInputMessage="1" showErrorMessage="1" sqref="J88:K88 J61:K68 J72:K75 J79:K80 J84:K84">
      <formula1>"0,1,2,3,4,5,6,7,8,9,10,11,12,13,14,15,16,17,18,19,20"</formula1>
    </dataValidation>
  </dataValidations>
  <hyperlinks>
    <hyperlink ref="R3" location="Settings!C4" tooltip="Settings" display="Settings!C4"/>
  </hyperlinks>
  <printOptions horizontalCentered="1"/>
  <pageMargins left="0.59055118110236204" right="0.59055118110236204" top="0.78740157480314998" bottom="0.78740157480314998" header="0.511811023622047" footer="0.511811023622047"/>
  <pageSetup paperSize="9" scale="59" orientation="portrait" r:id="rId1"/>
  <headerFooter alignWithMargins="0">
    <oddFooter>&amp;Cwww.excely.com (c) 2013</oddFooter>
  </headerFooter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EO52"/>
  <sheetViews>
    <sheetView workbookViewId="0">
      <selection activeCell="F49" sqref="F49"/>
    </sheetView>
  </sheetViews>
  <sheetFormatPr defaultRowHeight="12.75" x14ac:dyDescent="0.2"/>
  <cols>
    <col min="1" max="1" width="4.7109375" customWidth="1"/>
    <col min="2" max="2" width="20.7109375" bestFit="1" customWidth="1"/>
    <col min="5" max="5" width="20.7109375" bestFit="1" customWidth="1"/>
    <col min="6" max="6" width="9.5703125" customWidth="1"/>
    <col min="7" max="7" width="3.140625" hidden="1" customWidth="1"/>
  </cols>
  <sheetData>
    <row r="1" spans="2:145" ht="11.25" customHeight="1" x14ac:dyDescent="0.2">
      <c r="H1" s="159" t="s">
        <v>2706</v>
      </c>
      <c r="I1" s="159"/>
      <c r="J1" s="130" t="s">
        <v>943</v>
      </c>
      <c r="K1" s="159" t="s">
        <v>2707</v>
      </c>
      <c r="L1" s="159"/>
      <c r="M1" s="130" t="s">
        <v>943</v>
      </c>
      <c r="N1" s="159" t="s">
        <v>2708</v>
      </c>
      <c r="O1" s="159"/>
      <c r="P1" s="130" t="s">
        <v>943</v>
      </c>
      <c r="Q1" s="159" t="s">
        <v>2709</v>
      </c>
      <c r="R1" s="159"/>
      <c r="S1" s="130" t="s">
        <v>943</v>
      </c>
      <c r="T1" s="159" t="s">
        <v>2710</v>
      </c>
      <c r="U1" s="159"/>
      <c r="V1" s="130" t="s">
        <v>943</v>
      </c>
      <c r="W1" s="158"/>
      <c r="X1" s="158"/>
      <c r="Y1" s="134"/>
      <c r="Z1" s="158"/>
      <c r="AA1" s="158"/>
      <c r="AB1" s="134"/>
      <c r="AC1" s="158"/>
      <c r="AD1" s="158"/>
      <c r="AE1" s="134"/>
      <c r="AF1" s="158"/>
      <c r="AG1" s="158"/>
      <c r="AH1" s="134"/>
      <c r="AI1" s="158"/>
      <c r="AJ1" s="158"/>
      <c r="AK1" s="134"/>
      <c r="AL1" s="158"/>
      <c r="AM1" s="158"/>
      <c r="AN1" s="134"/>
      <c r="AO1" s="158"/>
      <c r="AP1" s="158"/>
      <c r="AQ1" s="134"/>
      <c r="AR1" s="158"/>
      <c r="AS1" s="158"/>
      <c r="AT1" s="134"/>
      <c r="AU1" s="158"/>
      <c r="AV1" s="158"/>
      <c r="AW1" s="134"/>
      <c r="AX1" s="158"/>
      <c r="AY1" s="158"/>
      <c r="AZ1" s="134"/>
      <c r="BA1" s="158"/>
      <c r="BB1" s="158"/>
      <c r="BC1" s="134"/>
      <c r="BD1" s="158"/>
      <c r="BE1" s="158"/>
      <c r="BF1" s="134"/>
      <c r="BG1" s="158"/>
      <c r="BH1" s="158"/>
      <c r="BI1" s="134"/>
      <c r="BJ1" s="158"/>
      <c r="BK1" s="158"/>
      <c r="BL1" s="134"/>
      <c r="BM1" s="158"/>
      <c r="BN1" s="158"/>
      <c r="BO1" s="134"/>
      <c r="BP1" s="158"/>
      <c r="BQ1" s="158"/>
      <c r="BR1" s="134"/>
      <c r="BS1" s="158"/>
      <c r="BT1" s="158"/>
      <c r="BU1" s="134"/>
      <c r="BV1" s="158"/>
      <c r="BW1" s="158"/>
      <c r="BX1" s="134"/>
      <c r="BY1" s="158"/>
      <c r="BZ1" s="158"/>
      <c r="CA1" s="134"/>
      <c r="CB1" s="158"/>
      <c r="CC1" s="158"/>
      <c r="CD1" s="134"/>
      <c r="CE1" s="158"/>
      <c r="CF1" s="158"/>
      <c r="CG1" s="134"/>
      <c r="CH1" s="158"/>
      <c r="CI1" s="158"/>
      <c r="CJ1" s="134"/>
      <c r="CK1" s="158"/>
      <c r="CL1" s="158"/>
      <c r="CM1" s="134"/>
      <c r="CN1" s="158"/>
      <c r="CO1" s="158"/>
      <c r="CP1" s="134"/>
      <c r="CQ1" s="158"/>
      <c r="CR1" s="158"/>
      <c r="CS1" s="134"/>
      <c r="CT1" s="158"/>
      <c r="CU1" s="158"/>
      <c r="CV1" s="134"/>
      <c r="CW1" s="158"/>
      <c r="CX1" s="158"/>
      <c r="CY1" s="134"/>
      <c r="CZ1" s="158"/>
      <c r="DA1" s="158"/>
      <c r="DB1" s="134"/>
      <c r="DC1" s="158"/>
      <c r="DD1" s="158"/>
      <c r="DE1" s="134"/>
      <c r="DF1" s="158"/>
      <c r="DG1" s="158"/>
      <c r="DH1" s="134"/>
      <c r="DI1" s="158"/>
      <c r="DJ1" s="158"/>
      <c r="DK1" s="134"/>
      <c r="DL1" s="158"/>
      <c r="DM1" s="158"/>
      <c r="DN1" s="134"/>
      <c r="DO1" s="158"/>
      <c r="DP1" s="158"/>
      <c r="DQ1" s="134"/>
      <c r="DR1" s="158"/>
      <c r="DS1" s="158"/>
      <c r="DT1" s="134"/>
      <c r="DU1" s="158"/>
      <c r="DV1" s="158"/>
      <c r="DW1" s="134"/>
      <c r="DX1" s="158"/>
      <c r="DY1" s="158"/>
      <c r="DZ1" s="134"/>
      <c r="EA1" s="158"/>
      <c r="EB1" s="158"/>
      <c r="EC1" s="134"/>
      <c r="ED1" s="158"/>
      <c r="EE1" s="158"/>
      <c r="EF1" s="134"/>
      <c r="EG1" s="158"/>
      <c r="EH1" s="158"/>
      <c r="EI1" s="134"/>
      <c r="EJ1" s="158"/>
      <c r="EK1" s="158"/>
      <c r="EL1" s="134"/>
      <c r="EM1" s="158"/>
      <c r="EN1" s="158"/>
      <c r="EO1" s="134"/>
    </row>
    <row r="2" spans="2:145" ht="11.25" customHeight="1" x14ac:dyDescent="0.2">
      <c r="B2" s="74" t="s">
        <v>1472</v>
      </c>
      <c r="C2" s="125">
        <f>IF(('Coopa del Mondo 2014'!F7=""), "",'Coopa del Mondo 2014'!F7)</f>
        <v>3</v>
      </c>
      <c r="D2" s="125">
        <f>IF(('Coopa del Mondo 2014'!G7=""), "",'Coopa del Mondo 2014'!G7)</f>
        <v>1</v>
      </c>
      <c r="E2" s="85" t="s">
        <v>2071</v>
      </c>
      <c r="G2">
        <f>IF(ISBLANK('Coopa del Mondo 2014'!F7),0,1)</f>
        <v>1</v>
      </c>
      <c r="H2" s="132">
        <v>4</v>
      </c>
      <c r="I2" s="132">
        <v>2</v>
      </c>
      <c r="J2" s="126">
        <f>IF($G2=1,(IF(AND($C2=$H2,$D2=$I2),3,(IF(AND($C2&gt;$D2,$H2&gt;$I2),1,(IF(AND($D2&gt;$C2,$I2&gt;$H2),1,(IF(AND($C2=$D2,$H2=$I2),1,0)))))))),"")</f>
        <v>1</v>
      </c>
      <c r="K2" s="132">
        <v>2</v>
      </c>
      <c r="L2" s="132">
        <v>1</v>
      </c>
      <c r="M2" s="126">
        <f>IF($G2=1,(IF(AND($C2=$K2,$D2=$L2),3,(IF(AND($C2&gt;$D2,$K2&gt;$L2),1,(IF(AND($D2&gt;$C2,$L2&gt;$K2),1,(IF(AND($C2=$D2,$K2=$L2),1,0)))))))),"")</f>
        <v>1</v>
      </c>
      <c r="N2" s="132">
        <v>2</v>
      </c>
      <c r="O2" s="132">
        <v>1</v>
      </c>
      <c r="P2" s="126">
        <f>IF($G2=1,(IF(AND($C2=$N2,$D2=$O2),3,(IF(AND($C2&gt;$D2,$N2&gt;$O2),1,(IF(AND($D2&gt;$C2,$O2&gt;$N2),1,(IF(AND($C2=$D2,$N2=$O2),1,0)))))))),"")</f>
        <v>1</v>
      </c>
      <c r="Q2" s="132">
        <v>3</v>
      </c>
      <c r="R2" s="132">
        <v>1</v>
      </c>
      <c r="S2" s="126">
        <f>IF($G2=1,(IF(AND($C2=$Q2,$D2=$R2),3,(IF(AND($C2&gt;$D2,$Q2&gt;$R2),1,(IF(AND($D2&gt;$C2,$R2&gt;$Q2),1,(IF(AND($C2=$D2,$Q2=$R2),1,0)))))))),"")</f>
        <v>3</v>
      </c>
      <c r="T2" s="132">
        <v>3</v>
      </c>
      <c r="U2" s="132">
        <v>1</v>
      </c>
      <c r="V2" s="126">
        <f>IF($G2=1,(IF(AND($C2=$T2,$D2=$U2),3,(IF(AND($C2&gt;$D2,$T2&gt;$U2),1,(IF(AND($D2&gt;$C2,$U2&gt;$T2),1,(IF(AND($C2=$D2,$T2=$U2),1,0)))))))),"")</f>
        <v>3</v>
      </c>
      <c r="W2" s="135"/>
      <c r="X2" s="135"/>
      <c r="Y2" s="136"/>
      <c r="Z2" s="135"/>
      <c r="AA2" s="135"/>
      <c r="AB2" s="136"/>
      <c r="AC2" s="135"/>
      <c r="AD2" s="135"/>
      <c r="AE2" s="136"/>
      <c r="AF2" s="135"/>
      <c r="AG2" s="135"/>
      <c r="AH2" s="136"/>
      <c r="AI2" s="135"/>
      <c r="AJ2" s="135"/>
      <c r="AK2" s="136"/>
      <c r="AL2" s="135"/>
      <c r="AM2" s="135"/>
      <c r="AN2" s="136"/>
      <c r="AO2" s="135"/>
      <c r="AP2" s="135"/>
      <c r="AQ2" s="136"/>
      <c r="AR2" s="135"/>
      <c r="AS2" s="135"/>
      <c r="AT2" s="136"/>
      <c r="AU2" s="135"/>
      <c r="AV2" s="135"/>
      <c r="AW2" s="136"/>
      <c r="AX2" s="135"/>
      <c r="AY2" s="135"/>
      <c r="AZ2" s="136"/>
      <c r="BA2" s="135"/>
      <c r="BB2" s="135"/>
      <c r="BC2" s="136"/>
      <c r="BD2" s="135"/>
      <c r="BE2" s="135"/>
      <c r="BF2" s="136"/>
      <c r="BG2" s="135"/>
      <c r="BH2" s="135"/>
      <c r="BI2" s="136"/>
      <c r="BJ2" s="135"/>
      <c r="BK2" s="135"/>
      <c r="BL2" s="136"/>
      <c r="BM2" s="135"/>
      <c r="BN2" s="135"/>
      <c r="BO2" s="136"/>
      <c r="BP2" s="135"/>
      <c r="BQ2" s="135"/>
      <c r="BR2" s="136"/>
      <c r="BS2" s="135"/>
      <c r="BT2" s="135"/>
      <c r="BU2" s="136"/>
      <c r="BV2" s="135"/>
      <c r="BW2" s="135"/>
      <c r="BX2" s="136"/>
      <c r="BY2" s="135"/>
      <c r="BZ2" s="135"/>
      <c r="CA2" s="136"/>
      <c r="CB2" s="135"/>
      <c r="CC2" s="135"/>
      <c r="CD2" s="136"/>
      <c r="CE2" s="135"/>
      <c r="CF2" s="135"/>
      <c r="CG2" s="136"/>
      <c r="CH2" s="135"/>
      <c r="CI2" s="135"/>
      <c r="CJ2" s="136"/>
      <c r="CK2" s="135"/>
      <c r="CL2" s="135"/>
      <c r="CM2" s="136"/>
      <c r="CN2" s="135"/>
      <c r="CO2" s="135"/>
      <c r="CP2" s="136"/>
      <c r="CQ2" s="135"/>
      <c r="CR2" s="135"/>
      <c r="CS2" s="136"/>
      <c r="CT2" s="135"/>
      <c r="CU2" s="135"/>
      <c r="CV2" s="136"/>
      <c r="CW2" s="135"/>
      <c r="CX2" s="135"/>
      <c r="CY2" s="136"/>
      <c r="CZ2" s="135"/>
      <c r="DA2" s="135"/>
      <c r="DB2" s="136"/>
      <c r="DC2" s="135"/>
      <c r="DD2" s="135"/>
      <c r="DE2" s="136"/>
      <c r="DF2" s="135"/>
      <c r="DG2" s="135"/>
      <c r="DH2" s="136"/>
      <c r="DI2" s="135"/>
      <c r="DJ2" s="135"/>
      <c r="DK2" s="136"/>
      <c r="DL2" s="135"/>
      <c r="DM2" s="135"/>
      <c r="DN2" s="136"/>
      <c r="DO2" s="135"/>
      <c r="DP2" s="135"/>
      <c r="DQ2" s="136"/>
      <c r="DR2" s="135"/>
      <c r="DS2" s="135"/>
      <c r="DT2" s="136"/>
      <c r="DU2" s="135"/>
      <c r="DV2" s="135"/>
      <c r="DW2" s="136"/>
      <c r="DX2" s="135"/>
      <c r="DY2" s="135"/>
      <c r="DZ2" s="136"/>
      <c r="EA2" s="135"/>
      <c r="EB2" s="135"/>
      <c r="EC2" s="136"/>
      <c r="ED2" s="135"/>
      <c r="EE2" s="135"/>
      <c r="EF2" s="136"/>
      <c r="EG2" s="135"/>
      <c r="EH2" s="135"/>
      <c r="EI2" s="136"/>
      <c r="EJ2" s="135"/>
      <c r="EK2" s="135"/>
      <c r="EL2" s="136"/>
      <c r="EM2" s="135"/>
      <c r="EN2" s="135"/>
      <c r="EO2" s="136"/>
    </row>
    <row r="3" spans="2:145" ht="11.25" customHeight="1" x14ac:dyDescent="0.2">
      <c r="B3" s="79" t="s">
        <v>1467</v>
      </c>
      <c r="C3" s="125">
        <f>IF(('Coopa del Mondo 2014'!F8=""), "",'Coopa del Mondo 2014'!F8)</f>
        <v>1</v>
      </c>
      <c r="D3" s="125">
        <f>IF(('Coopa del Mondo 2014'!G8=""), "",'Coopa del Mondo 2014'!G8)</f>
        <v>0</v>
      </c>
      <c r="E3" s="86" t="s">
        <v>1364</v>
      </c>
      <c r="G3">
        <f>IF(ISBLANK('Coopa del Mondo 2014'!F8),0,1)</f>
        <v>1</v>
      </c>
      <c r="H3" s="132">
        <v>2</v>
      </c>
      <c r="I3" s="132">
        <v>2</v>
      </c>
      <c r="J3" s="126">
        <f t="shared" ref="J3:J49" si="0">IF($G3=1,(IF(AND($C3=$H3,$D3=$I3),3,(IF(AND($C3&gt;$D3,$H3&gt;$I3),1,(IF(AND($D3&gt;$C3,$I3&gt;$H3),1,(IF(AND($C3=$D3,$H3=$I3),1,0)))))))),"")</f>
        <v>0</v>
      </c>
      <c r="K3" s="132">
        <v>3</v>
      </c>
      <c r="L3" s="132">
        <v>3</v>
      </c>
      <c r="M3" s="126">
        <f t="shared" ref="M3:M49" si="1">IF($G3=1,(IF(AND($C3=$K3,$D3=$L3),3,(IF(AND($C3&gt;$D3,$K3&gt;$L3),1,(IF(AND($D3&gt;$C3,$L3&gt;$K3),1,(IF(AND($C3=$D3,$K3=$L3),1,0)))))))),"")</f>
        <v>0</v>
      </c>
      <c r="N3" s="132">
        <v>0</v>
      </c>
      <c r="O3" s="132">
        <v>1</v>
      </c>
      <c r="P3" s="126">
        <f t="shared" ref="P3:P49" si="2">IF($G3=1,(IF(AND($C3=$N3,$D3=$O3),3,(IF(AND($C3&gt;$D3,$N3&gt;$O3),1,(IF(AND($D3&gt;$C3,$O3&gt;$N3),1,(IF(AND($C3=$D3,$N3=$O3),1,0)))))))),"")</f>
        <v>0</v>
      </c>
      <c r="Q3" s="132">
        <v>1</v>
      </c>
      <c r="R3" s="132">
        <v>2</v>
      </c>
      <c r="S3" s="126">
        <f t="shared" ref="S3:S49" si="3">IF($G3=1,(IF(AND($C3=$Q3,$D3=$R3),3,(IF(AND($C3&gt;$D3,$Q3&gt;$R3),1,(IF(AND($D3&gt;$C3,$R3&gt;$Q3),1,(IF(AND($C3=$D3,$Q3=$R3),1,0)))))))),"")</f>
        <v>0</v>
      </c>
      <c r="T3" s="132">
        <v>1</v>
      </c>
      <c r="U3" s="132">
        <v>0</v>
      </c>
      <c r="V3" s="126">
        <f>IF($G3=1,(IF(AND($C3=$T3,$D3=$U3),3,(IF(AND($C3&gt;$D3,$T3&gt;$U3),1,(IF(AND($D3&gt;$C3,$U3&gt;$T3),1,(IF(AND($C3=$D3,$T3=$U3),1,0)))))))),"")</f>
        <v>3</v>
      </c>
      <c r="W3" s="135"/>
      <c r="X3" s="135"/>
      <c r="Y3" s="136"/>
      <c r="Z3" s="135"/>
      <c r="AA3" s="135"/>
      <c r="AB3" s="136"/>
      <c r="AC3" s="135"/>
      <c r="AD3" s="135"/>
      <c r="AE3" s="136"/>
      <c r="AF3" s="135"/>
      <c r="AG3" s="135"/>
      <c r="AH3" s="136"/>
      <c r="AI3" s="135"/>
      <c r="AJ3" s="135"/>
      <c r="AK3" s="136"/>
      <c r="AL3" s="135"/>
      <c r="AM3" s="135"/>
      <c r="AN3" s="136"/>
      <c r="AO3" s="135"/>
      <c r="AP3" s="135"/>
      <c r="AQ3" s="136"/>
      <c r="AR3" s="135"/>
      <c r="AS3" s="135"/>
      <c r="AT3" s="136"/>
      <c r="AU3" s="135"/>
      <c r="AV3" s="135"/>
      <c r="AW3" s="136"/>
      <c r="AX3" s="135"/>
      <c r="AY3" s="135"/>
      <c r="AZ3" s="136"/>
      <c r="BA3" s="135"/>
      <c r="BB3" s="135"/>
      <c r="BC3" s="136"/>
      <c r="BD3" s="135"/>
      <c r="BE3" s="135"/>
      <c r="BF3" s="136"/>
      <c r="BG3" s="135"/>
      <c r="BH3" s="135"/>
      <c r="BI3" s="136"/>
      <c r="BJ3" s="135"/>
      <c r="BK3" s="135"/>
      <c r="BL3" s="136"/>
      <c r="BM3" s="135"/>
      <c r="BN3" s="135"/>
      <c r="BO3" s="136"/>
      <c r="BP3" s="135"/>
      <c r="BQ3" s="135"/>
      <c r="BR3" s="136"/>
      <c r="BS3" s="135"/>
      <c r="BT3" s="135"/>
      <c r="BU3" s="136"/>
      <c r="BV3" s="135"/>
      <c r="BW3" s="135"/>
      <c r="BX3" s="136"/>
      <c r="BY3" s="135"/>
      <c r="BZ3" s="135"/>
      <c r="CA3" s="136"/>
      <c r="CB3" s="135"/>
      <c r="CC3" s="135"/>
      <c r="CD3" s="136"/>
      <c r="CE3" s="135"/>
      <c r="CF3" s="135"/>
      <c r="CG3" s="136"/>
      <c r="CH3" s="135"/>
      <c r="CI3" s="135"/>
      <c r="CJ3" s="136"/>
      <c r="CK3" s="135"/>
      <c r="CL3" s="135"/>
      <c r="CM3" s="136"/>
      <c r="CN3" s="135"/>
      <c r="CO3" s="135"/>
      <c r="CP3" s="136"/>
      <c r="CQ3" s="135"/>
      <c r="CR3" s="135"/>
      <c r="CS3" s="136"/>
      <c r="CT3" s="135"/>
      <c r="CU3" s="135"/>
      <c r="CV3" s="136"/>
      <c r="CW3" s="135"/>
      <c r="CX3" s="135"/>
      <c r="CY3" s="136"/>
      <c r="CZ3" s="135"/>
      <c r="DA3" s="135"/>
      <c r="DB3" s="136"/>
      <c r="DC3" s="135"/>
      <c r="DD3" s="135"/>
      <c r="DE3" s="136"/>
      <c r="DF3" s="135"/>
      <c r="DG3" s="135"/>
      <c r="DH3" s="136"/>
      <c r="DI3" s="135"/>
      <c r="DJ3" s="135"/>
      <c r="DK3" s="136"/>
      <c r="DL3" s="135"/>
      <c r="DM3" s="135"/>
      <c r="DN3" s="136"/>
      <c r="DO3" s="135"/>
      <c r="DP3" s="135"/>
      <c r="DQ3" s="136"/>
      <c r="DR3" s="135"/>
      <c r="DS3" s="135"/>
      <c r="DT3" s="136"/>
      <c r="DU3" s="135"/>
      <c r="DV3" s="135"/>
      <c r="DW3" s="136"/>
      <c r="DX3" s="135"/>
      <c r="DY3" s="135"/>
      <c r="DZ3" s="136"/>
      <c r="EA3" s="135"/>
      <c r="EB3" s="135"/>
      <c r="EC3" s="136"/>
      <c r="ED3" s="135"/>
      <c r="EE3" s="135"/>
      <c r="EF3" s="136"/>
      <c r="EG3" s="135"/>
      <c r="EH3" s="135"/>
      <c r="EI3" s="136"/>
      <c r="EJ3" s="135"/>
      <c r="EK3" s="135"/>
      <c r="EL3" s="136"/>
      <c r="EM3" s="135"/>
      <c r="EN3" s="135"/>
      <c r="EO3" s="136"/>
    </row>
    <row r="4" spans="2:145" ht="11.25" customHeight="1" x14ac:dyDescent="0.2">
      <c r="B4" s="79" t="s">
        <v>1474</v>
      </c>
      <c r="C4" s="125">
        <f>IF(('Coopa del Mondo 2014'!F9=""), "",'Coopa del Mondo 2014'!F9)</f>
        <v>1</v>
      </c>
      <c r="D4" s="125">
        <f>IF(('Coopa del Mondo 2014'!G9=""), "",'Coopa del Mondo 2014'!G9)</f>
        <v>5</v>
      </c>
      <c r="E4" s="86" t="s">
        <v>2303</v>
      </c>
      <c r="G4">
        <f>IF(ISBLANK('Coopa del Mondo 2014'!F9),0,1)</f>
        <v>1</v>
      </c>
      <c r="H4" s="132">
        <v>1</v>
      </c>
      <c r="I4" s="132">
        <v>0</v>
      </c>
      <c r="J4" s="126">
        <f t="shared" si="0"/>
        <v>0</v>
      </c>
      <c r="K4" s="132">
        <v>2</v>
      </c>
      <c r="L4" s="132">
        <v>0</v>
      </c>
      <c r="M4" s="126">
        <f t="shared" si="1"/>
        <v>0</v>
      </c>
      <c r="N4" s="132">
        <v>2</v>
      </c>
      <c r="O4" s="132">
        <v>0</v>
      </c>
      <c r="P4" s="126">
        <f t="shared" si="2"/>
        <v>0</v>
      </c>
      <c r="Q4" s="132">
        <v>1</v>
      </c>
      <c r="R4" s="132">
        <v>1</v>
      </c>
      <c r="S4" s="126">
        <f t="shared" si="3"/>
        <v>0</v>
      </c>
      <c r="T4" s="132">
        <v>1</v>
      </c>
      <c r="U4" s="132">
        <v>1</v>
      </c>
      <c r="V4" s="126">
        <f>IF($G4=1,(IF(AND($C4=$T4,$D4=$U4),3,(IF(AND($C4&gt;$D4,$T4&gt;$U4),1,(IF(AND($D4&gt;$C4,$U4&gt;$T4),1,(IF(AND($C4=$D4,$T4=$U4),1,0)))))))),"")</f>
        <v>0</v>
      </c>
      <c r="W4" s="135"/>
      <c r="X4" s="135"/>
      <c r="Y4" s="136"/>
      <c r="Z4" s="135"/>
      <c r="AA4" s="135"/>
      <c r="AB4" s="136"/>
      <c r="AC4" s="135"/>
      <c r="AD4" s="135"/>
      <c r="AE4" s="136"/>
      <c r="AF4" s="135"/>
      <c r="AG4" s="135"/>
      <c r="AH4" s="136"/>
      <c r="AI4" s="135"/>
      <c r="AJ4" s="135"/>
      <c r="AK4" s="136"/>
      <c r="AL4" s="135"/>
      <c r="AM4" s="135"/>
      <c r="AN4" s="136"/>
      <c r="AO4" s="135"/>
      <c r="AP4" s="135"/>
      <c r="AQ4" s="136"/>
      <c r="AR4" s="135"/>
      <c r="AS4" s="135"/>
      <c r="AT4" s="136"/>
      <c r="AU4" s="135"/>
      <c r="AV4" s="135"/>
      <c r="AW4" s="136"/>
      <c r="AX4" s="135"/>
      <c r="AY4" s="135"/>
      <c r="AZ4" s="136"/>
      <c r="BA4" s="135"/>
      <c r="BB4" s="135"/>
      <c r="BC4" s="136"/>
      <c r="BD4" s="135"/>
      <c r="BE4" s="135"/>
      <c r="BF4" s="136"/>
      <c r="BG4" s="135"/>
      <c r="BH4" s="135"/>
      <c r="BI4" s="136"/>
      <c r="BJ4" s="135"/>
      <c r="BK4" s="135"/>
      <c r="BL4" s="136"/>
      <c r="BM4" s="135"/>
      <c r="BN4" s="135"/>
      <c r="BO4" s="136"/>
      <c r="BP4" s="135"/>
      <c r="BQ4" s="135"/>
      <c r="BR4" s="136"/>
      <c r="BS4" s="135"/>
      <c r="BT4" s="135"/>
      <c r="BU4" s="136"/>
      <c r="BV4" s="135"/>
      <c r="BW4" s="135"/>
      <c r="BX4" s="136"/>
      <c r="BY4" s="135"/>
      <c r="BZ4" s="135"/>
      <c r="CA4" s="136"/>
      <c r="CB4" s="135"/>
      <c r="CC4" s="135"/>
      <c r="CD4" s="136"/>
      <c r="CE4" s="135"/>
      <c r="CF4" s="135"/>
      <c r="CG4" s="136"/>
      <c r="CH4" s="135"/>
      <c r="CI4" s="135"/>
      <c r="CJ4" s="136"/>
      <c r="CK4" s="135"/>
      <c r="CL4" s="135"/>
      <c r="CM4" s="136"/>
      <c r="CN4" s="135"/>
      <c r="CO4" s="135"/>
      <c r="CP4" s="136"/>
      <c r="CQ4" s="135"/>
      <c r="CR4" s="135"/>
      <c r="CS4" s="136"/>
      <c r="CT4" s="135"/>
      <c r="CU4" s="135"/>
      <c r="CV4" s="136"/>
      <c r="CW4" s="135"/>
      <c r="CX4" s="135"/>
      <c r="CY4" s="136"/>
      <c r="CZ4" s="135"/>
      <c r="DA4" s="135"/>
      <c r="DB4" s="136"/>
      <c r="DC4" s="135"/>
      <c r="DD4" s="135"/>
      <c r="DE4" s="136"/>
      <c r="DF4" s="135"/>
      <c r="DG4" s="135"/>
      <c r="DH4" s="136"/>
      <c r="DI4" s="135"/>
      <c r="DJ4" s="135"/>
      <c r="DK4" s="136"/>
      <c r="DL4" s="135"/>
      <c r="DM4" s="135"/>
      <c r="DN4" s="136"/>
      <c r="DO4" s="135"/>
      <c r="DP4" s="135"/>
      <c r="DQ4" s="136"/>
      <c r="DR4" s="135"/>
      <c r="DS4" s="135"/>
      <c r="DT4" s="136"/>
      <c r="DU4" s="135"/>
      <c r="DV4" s="135"/>
      <c r="DW4" s="136"/>
      <c r="DX4" s="135"/>
      <c r="DY4" s="135"/>
      <c r="DZ4" s="136"/>
      <c r="EA4" s="135"/>
      <c r="EB4" s="135"/>
      <c r="EC4" s="136"/>
      <c r="ED4" s="135"/>
      <c r="EE4" s="135"/>
      <c r="EF4" s="136"/>
      <c r="EG4" s="135"/>
      <c r="EH4" s="135"/>
      <c r="EI4" s="136"/>
      <c r="EJ4" s="135"/>
      <c r="EK4" s="135"/>
      <c r="EL4" s="136"/>
      <c r="EM4" s="135"/>
      <c r="EN4" s="135"/>
      <c r="EO4" s="136"/>
    </row>
    <row r="5" spans="2:145" ht="11.25" customHeight="1" x14ac:dyDescent="0.2">
      <c r="B5" s="79" t="s">
        <v>1476</v>
      </c>
      <c r="C5" s="125">
        <f>IF(('Coopa del Mondo 2014'!F10=""), "",'Coopa del Mondo 2014'!F10)</f>
        <v>3</v>
      </c>
      <c r="D5" s="125">
        <f>IF(('Coopa del Mondo 2014'!G10=""), "",'Coopa del Mondo 2014'!G10)</f>
        <v>1</v>
      </c>
      <c r="E5" s="86" t="s">
        <v>961</v>
      </c>
      <c r="G5">
        <f>IF(ISBLANK('Coopa del Mondo 2014'!F10),0,1)</f>
        <v>1</v>
      </c>
      <c r="H5" s="132">
        <v>3</v>
      </c>
      <c r="I5" s="132">
        <v>3</v>
      </c>
      <c r="J5" s="126">
        <f t="shared" si="0"/>
        <v>0</v>
      </c>
      <c r="K5" s="132">
        <v>0</v>
      </c>
      <c r="L5" s="132">
        <v>0</v>
      </c>
      <c r="M5" s="126">
        <f t="shared" si="1"/>
        <v>0</v>
      </c>
      <c r="N5" s="132">
        <v>1</v>
      </c>
      <c r="O5" s="132">
        <v>1</v>
      </c>
      <c r="P5" s="126">
        <f t="shared" si="2"/>
        <v>0</v>
      </c>
      <c r="Q5" s="132">
        <v>3</v>
      </c>
      <c r="R5" s="132">
        <v>0</v>
      </c>
      <c r="S5" s="126">
        <f t="shared" si="3"/>
        <v>1</v>
      </c>
      <c r="T5" s="132">
        <v>1</v>
      </c>
      <c r="U5" s="132">
        <v>0</v>
      </c>
      <c r="V5" s="126">
        <f>IF($G5=1,(IF(AND($C5=$T5,$D5=$U5),3,(IF(AND($C5&gt;$D5,$T5&gt;$U5),1,(IF(AND($D5&gt;$C5,$U5&gt;$T5),1,(IF(AND($C5=$D5,$T5=$U5),1,0)))))))),"")</f>
        <v>1</v>
      </c>
      <c r="W5" s="135"/>
      <c r="X5" s="135"/>
      <c r="Y5" s="136"/>
      <c r="Z5" s="135"/>
      <c r="AA5" s="135"/>
      <c r="AB5" s="136"/>
      <c r="AC5" s="135"/>
      <c r="AD5" s="135"/>
      <c r="AE5" s="136"/>
      <c r="AF5" s="135"/>
      <c r="AG5" s="135"/>
      <c r="AH5" s="136"/>
      <c r="AI5" s="135"/>
      <c r="AJ5" s="135"/>
      <c r="AK5" s="136"/>
      <c r="AL5" s="135"/>
      <c r="AM5" s="135"/>
      <c r="AN5" s="136"/>
      <c r="AO5" s="135"/>
      <c r="AP5" s="135"/>
      <c r="AQ5" s="136"/>
      <c r="AR5" s="135"/>
      <c r="AS5" s="135"/>
      <c r="AT5" s="136"/>
      <c r="AU5" s="135"/>
      <c r="AV5" s="135"/>
      <c r="AW5" s="136"/>
      <c r="AX5" s="135"/>
      <c r="AY5" s="135"/>
      <c r="AZ5" s="136"/>
      <c r="BA5" s="135"/>
      <c r="BB5" s="135"/>
      <c r="BC5" s="136"/>
      <c r="BD5" s="135"/>
      <c r="BE5" s="135"/>
      <c r="BF5" s="136"/>
      <c r="BG5" s="135"/>
      <c r="BH5" s="135"/>
      <c r="BI5" s="136"/>
      <c r="BJ5" s="135"/>
      <c r="BK5" s="135"/>
      <c r="BL5" s="136"/>
      <c r="BM5" s="135"/>
      <c r="BN5" s="135"/>
      <c r="BO5" s="136"/>
      <c r="BP5" s="135"/>
      <c r="BQ5" s="135"/>
      <c r="BR5" s="136"/>
      <c r="BS5" s="135"/>
      <c r="BT5" s="135"/>
      <c r="BU5" s="136"/>
      <c r="BV5" s="135"/>
      <c r="BW5" s="135"/>
      <c r="BX5" s="136"/>
      <c r="BY5" s="135"/>
      <c r="BZ5" s="135"/>
      <c r="CA5" s="136"/>
      <c r="CB5" s="135"/>
      <c r="CC5" s="135"/>
      <c r="CD5" s="136"/>
      <c r="CE5" s="135"/>
      <c r="CF5" s="135"/>
      <c r="CG5" s="136"/>
      <c r="CH5" s="135"/>
      <c r="CI5" s="135"/>
      <c r="CJ5" s="136"/>
      <c r="CK5" s="135"/>
      <c r="CL5" s="135"/>
      <c r="CM5" s="136"/>
      <c r="CN5" s="135"/>
      <c r="CO5" s="135"/>
      <c r="CP5" s="136"/>
      <c r="CQ5" s="135"/>
      <c r="CR5" s="135"/>
      <c r="CS5" s="136"/>
      <c r="CT5" s="135"/>
      <c r="CU5" s="135"/>
      <c r="CV5" s="136"/>
      <c r="CW5" s="135"/>
      <c r="CX5" s="135"/>
      <c r="CY5" s="136"/>
      <c r="CZ5" s="135"/>
      <c r="DA5" s="135"/>
      <c r="DB5" s="136"/>
      <c r="DC5" s="135"/>
      <c r="DD5" s="135"/>
      <c r="DE5" s="136"/>
      <c r="DF5" s="135"/>
      <c r="DG5" s="135"/>
      <c r="DH5" s="136"/>
      <c r="DI5" s="135"/>
      <c r="DJ5" s="135"/>
      <c r="DK5" s="136"/>
      <c r="DL5" s="135"/>
      <c r="DM5" s="135"/>
      <c r="DN5" s="136"/>
      <c r="DO5" s="135"/>
      <c r="DP5" s="135"/>
      <c r="DQ5" s="136"/>
      <c r="DR5" s="135"/>
      <c r="DS5" s="135"/>
      <c r="DT5" s="136"/>
      <c r="DU5" s="135"/>
      <c r="DV5" s="135"/>
      <c r="DW5" s="136"/>
      <c r="DX5" s="135"/>
      <c r="DY5" s="135"/>
      <c r="DZ5" s="136"/>
      <c r="EA5" s="135"/>
      <c r="EB5" s="135"/>
      <c r="EC5" s="136"/>
      <c r="ED5" s="135"/>
      <c r="EE5" s="135"/>
      <c r="EF5" s="136"/>
      <c r="EG5" s="135"/>
      <c r="EH5" s="135"/>
      <c r="EI5" s="136"/>
      <c r="EJ5" s="135"/>
      <c r="EK5" s="135"/>
      <c r="EL5" s="136"/>
      <c r="EM5" s="135"/>
      <c r="EN5" s="135"/>
      <c r="EO5" s="136"/>
    </row>
    <row r="6" spans="2:145" ht="11.25" customHeight="1" x14ac:dyDescent="0.2">
      <c r="B6" s="79" t="s">
        <v>2255</v>
      </c>
      <c r="C6" s="125">
        <f>IF(('Coopa del Mondo 2014'!F11=""), "",'Coopa del Mondo 2014'!F11)</f>
        <v>3</v>
      </c>
      <c r="D6" s="125">
        <f>IF(('Coopa del Mondo 2014'!G11=""), "",'Coopa del Mondo 2014'!G11)</f>
        <v>0</v>
      </c>
      <c r="E6" s="86" t="s">
        <v>1015</v>
      </c>
      <c r="G6">
        <f>IF(ISBLANK('Coopa del Mondo 2014'!F11),0,1)</f>
        <v>1</v>
      </c>
      <c r="H6" s="132">
        <v>1</v>
      </c>
      <c r="I6" s="132">
        <v>2</v>
      </c>
      <c r="J6" s="126">
        <f t="shared" si="0"/>
        <v>0</v>
      </c>
      <c r="K6" s="132">
        <v>0</v>
      </c>
      <c r="L6" s="132">
        <v>0</v>
      </c>
      <c r="M6" s="126">
        <f t="shared" si="1"/>
        <v>0</v>
      </c>
      <c r="N6" s="132">
        <v>0</v>
      </c>
      <c r="O6" s="132">
        <v>1</v>
      </c>
      <c r="P6" s="126">
        <f t="shared" si="2"/>
        <v>0</v>
      </c>
      <c r="Q6" s="132">
        <v>0</v>
      </c>
      <c r="R6" s="132">
        <v>0</v>
      </c>
      <c r="S6" s="126">
        <f t="shared" si="3"/>
        <v>0</v>
      </c>
      <c r="T6" s="132">
        <v>2</v>
      </c>
      <c r="U6" s="132">
        <v>0</v>
      </c>
      <c r="V6" s="126">
        <f>IF($G6=1,(IF(AND($C6=$T6,$D6=$U6),3,(IF(AND($C6&gt;$D6,$T6&gt;$U6),1,(IF(AND($D6&gt;$C6,$U6&gt;$T6),1,(IF(AND($C6=$D6,$T6=$U6),1,0)))))))),"")</f>
        <v>1</v>
      </c>
      <c r="W6" s="135"/>
      <c r="X6" s="135"/>
      <c r="Y6" s="136"/>
      <c r="Z6" s="135"/>
      <c r="AA6" s="135"/>
      <c r="AB6" s="136"/>
      <c r="AC6" s="135"/>
      <c r="AD6" s="135"/>
      <c r="AE6" s="136"/>
      <c r="AF6" s="135"/>
      <c r="AG6" s="135"/>
      <c r="AH6" s="136"/>
      <c r="AI6" s="135"/>
      <c r="AJ6" s="135"/>
      <c r="AK6" s="136"/>
      <c r="AL6" s="135"/>
      <c r="AM6" s="135"/>
      <c r="AN6" s="136"/>
      <c r="AO6" s="135"/>
      <c r="AP6" s="135"/>
      <c r="AQ6" s="136"/>
      <c r="AR6" s="135"/>
      <c r="AS6" s="135"/>
      <c r="AT6" s="136"/>
      <c r="AU6" s="135"/>
      <c r="AV6" s="135"/>
      <c r="AW6" s="136"/>
      <c r="AX6" s="135"/>
      <c r="AY6" s="135"/>
      <c r="AZ6" s="136"/>
      <c r="BA6" s="135"/>
      <c r="BB6" s="135"/>
      <c r="BC6" s="136"/>
      <c r="BD6" s="135"/>
      <c r="BE6" s="135"/>
      <c r="BF6" s="136"/>
      <c r="BG6" s="135"/>
      <c r="BH6" s="135"/>
      <c r="BI6" s="136"/>
      <c r="BJ6" s="135"/>
      <c r="BK6" s="135"/>
      <c r="BL6" s="136"/>
      <c r="BM6" s="135"/>
      <c r="BN6" s="135"/>
      <c r="BO6" s="136"/>
      <c r="BP6" s="135"/>
      <c r="BQ6" s="135"/>
      <c r="BR6" s="136"/>
      <c r="BS6" s="135"/>
      <c r="BT6" s="135"/>
      <c r="BU6" s="136"/>
      <c r="BV6" s="135"/>
      <c r="BW6" s="135"/>
      <c r="BX6" s="136"/>
      <c r="BY6" s="135"/>
      <c r="BZ6" s="135"/>
      <c r="CA6" s="136"/>
      <c r="CB6" s="135"/>
      <c r="CC6" s="135"/>
      <c r="CD6" s="136"/>
      <c r="CE6" s="135"/>
      <c r="CF6" s="135"/>
      <c r="CG6" s="136"/>
      <c r="CH6" s="135"/>
      <c r="CI6" s="135"/>
      <c r="CJ6" s="136"/>
      <c r="CK6" s="135"/>
      <c r="CL6" s="135"/>
      <c r="CM6" s="136"/>
      <c r="CN6" s="135"/>
      <c r="CO6" s="135"/>
      <c r="CP6" s="136"/>
      <c r="CQ6" s="135"/>
      <c r="CR6" s="135"/>
      <c r="CS6" s="136"/>
      <c r="CT6" s="135"/>
      <c r="CU6" s="135"/>
      <c r="CV6" s="136"/>
      <c r="CW6" s="135"/>
      <c r="CX6" s="135"/>
      <c r="CY6" s="136"/>
      <c r="CZ6" s="135"/>
      <c r="DA6" s="135"/>
      <c r="DB6" s="136"/>
      <c r="DC6" s="135"/>
      <c r="DD6" s="135"/>
      <c r="DE6" s="136"/>
      <c r="DF6" s="135"/>
      <c r="DG6" s="135"/>
      <c r="DH6" s="136"/>
      <c r="DI6" s="135"/>
      <c r="DJ6" s="135"/>
      <c r="DK6" s="136"/>
      <c r="DL6" s="135"/>
      <c r="DM6" s="135"/>
      <c r="DN6" s="136"/>
      <c r="DO6" s="135"/>
      <c r="DP6" s="135"/>
      <c r="DQ6" s="136"/>
      <c r="DR6" s="135"/>
      <c r="DS6" s="135"/>
      <c r="DT6" s="136"/>
      <c r="DU6" s="135"/>
      <c r="DV6" s="135"/>
      <c r="DW6" s="136"/>
      <c r="DX6" s="135"/>
      <c r="DY6" s="135"/>
      <c r="DZ6" s="136"/>
      <c r="EA6" s="135"/>
      <c r="EB6" s="135"/>
      <c r="EC6" s="136"/>
      <c r="ED6" s="135"/>
      <c r="EE6" s="135"/>
      <c r="EF6" s="136"/>
      <c r="EG6" s="135"/>
      <c r="EH6" s="135"/>
      <c r="EI6" s="136"/>
      <c r="EJ6" s="135"/>
      <c r="EK6" s="135"/>
      <c r="EL6" s="136"/>
      <c r="EM6" s="135"/>
      <c r="EN6" s="135"/>
      <c r="EO6" s="136"/>
    </row>
    <row r="7" spans="2:145" ht="11.25" customHeight="1" x14ac:dyDescent="0.2">
      <c r="B7" s="79" t="s">
        <v>2443</v>
      </c>
      <c r="C7" s="125">
        <f>IF(('Coopa del Mondo 2014'!F12=""), "",'Coopa del Mondo 2014'!F12)</f>
        <v>2</v>
      </c>
      <c r="D7" s="125">
        <f>IF(('Coopa del Mondo 2014'!G12=""), "",'Coopa del Mondo 2014'!G12)</f>
        <v>1</v>
      </c>
      <c r="E7" s="86" t="s">
        <v>1471</v>
      </c>
      <c r="G7">
        <f>IF(ISBLANK('Coopa del Mondo 2014'!F12),0,1)</f>
        <v>1</v>
      </c>
      <c r="H7" s="132">
        <v>1</v>
      </c>
      <c r="I7" s="132">
        <v>1</v>
      </c>
      <c r="J7" s="126">
        <f t="shared" si="0"/>
        <v>0</v>
      </c>
      <c r="K7" s="132">
        <v>0</v>
      </c>
      <c r="L7" s="132">
        <v>2</v>
      </c>
      <c r="M7" s="126">
        <f t="shared" si="1"/>
        <v>0</v>
      </c>
      <c r="N7" s="128">
        <v>0</v>
      </c>
      <c r="O7" s="132">
        <v>1</v>
      </c>
      <c r="P7" s="126">
        <f t="shared" si="2"/>
        <v>0</v>
      </c>
      <c r="Q7" s="132">
        <v>3</v>
      </c>
      <c r="R7" s="132">
        <v>1</v>
      </c>
      <c r="S7" s="126">
        <f t="shared" si="3"/>
        <v>1</v>
      </c>
      <c r="T7" s="132">
        <v>0</v>
      </c>
      <c r="U7" s="132">
        <v>2</v>
      </c>
      <c r="V7" s="126">
        <f>IF($G7=1,(IF(AND($C7=$T7,$D7=$U7),3,(IF(AND($C7&gt;$D7,$T7&gt;$U7),1,(IF(AND($D7&gt;$C7,$U7&gt;$T7),1,(IF(AND($C7=$D7,$T7=$U7),1,0)))))))),"")</f>
        <v>0</v>
      </c>
      <c r="W7" s="135"/>
      <c r="X7" s="135"/>
      <c r="Y7" s="136"/>
      <c r="Z7" s="135"/>
      <c r="AA7" s="135"/>
      <c r="AB7" s="136"/>
      <c r="AC7" s="135"/>
      <c r="AD7" s="135"/>
      <c r="AE7" s="136"/>
      <c r="AF7" s="135"/>
      <c r="AG7" s="135"/>
      <c r="AH7" s="136"/>
      <c r="AI7" s="135"/>
      <c r="AJ7" s="135"/>
      <c r="AK7" s="136"/>
      <c r="AL7" s="135"/>
      <c r="AM7" s="135"/>
      <c r="AN7" s="136"/>
      <c r="AO7" s="135"/>
      <c r="AP7" s="135"/>
      <c r="AQ7" s="136"/>
      <c r="AR7" s="135"/>
      <c r="AS7" s="135"/>
      <c r="AT7" s="136"/>
      <c r="AU7" s="135"/>
      <c r="AV7" s="135"/>
      <c r="AW7" s="136"/>
      <c r="AX7" s="135"/>
      <c r="AY7" s="135"/>
      <c r="AZ7" s="136"/>
      <c r="BA7" s="135"/>
      <c r="BB7" s="135"/>
      <c r="BC7" s="136"/>
      <c r="BD7" s="135"/>
      <c r="BE7" s="135"/>
      <c r="BF7" s="136"/>
      <c r="BG7" s="135"/>
      <c r="BH7" s="135"/>
      <c r="BI7" s="136"/>
      <c r="BJ7" s="135"/>
      <c r="BK7" s="135"/>
      <c r="BL7" s="136"/>
      <c r="BM7" s="135"/>
      <c r="BN7" s="135"/>
      <c r="BO7" s="136"/>
      <c r="BP7" s="135"/>
      <c r="BQ7" s="135"/>
      <c r="BR7" s="136"/>
      <c r="BS7" s="135"/>
      <c r="BT7" s="135"/>
      <c r="BU7" s="136"/>
      <c r="BV7" s="135"/>
      <c r="BW7" s="135"/>
      <c r="BX7" s="136"/>
      <c r="BY7" s="135"/>
      <c r="BZ7" s="135"/>
      <c r="CA7" s="136"/>
      <c r="CB7" s="135"/>
      <c r="CC7" s="135"/>
      <c r="CD7" s="136"/>
      <c r="CE7" s="135"/>
      <c r="CF7" s="135"/>
      <c r="CG7" s="136"/>
      <c r="CH7" s="135"/>
      <c r="CI7" s="135"/>
      <c r="CJ7" s="136"/>
      <c r="CK7" s="135"/>
      <c r="CL7" s="135"/>
      <c r="CM7" s="136"/>
      <c r="CN7" s="135"/>
      <c r="CO7" s="135"/>
      <c r="CP7" s="136"/>
      <c r="CQ7" s="135"/>
      <c r="CR7" s="135"/>
      <c r="CS7" s="136"/>
      <c r="CT7" s="135"/>
      <c r="CU7" s="135"/>
      <c r="CV7" s="136"/>
      <c r="CW7" s="135"/>
      <c r="CX7" s="135"/>
      <c r="CY7" s="136"/>
      <c r="CZ7" s="135"/>
      <c r="DA7" s="135"/>
      <c r="DB7" s="136"/>
      <c r="DC7" s="135"/>
      <c r="DD7" s="135"/>
      <c r="DE7" s="136"/>
      <c r="DF7" s="135"/>
      <c r="DG7" s="135"/>
      <c r="DH7" s="136"/>
      <c r="DI7" s="135"/>
      <c r="DJ7" s="135"/>
      <c r="DK7" s="136"/>
      <c r="DL7" s="135"/>
      <c r="DM7" s="135"/>
      <c r="DN7" s="136"/>
      <c r="DO7" s="135"/>
      <c r="DP7" s="135"/>
      <c r="DQ7" s="136"/>
      <c r="DR7" s="135"/>
      <c r="DS7" s="135"/>
      <c r="DT7" s="136"/>
      <c r="DU7" s="135"/>
      <c r="DV7" s="135"/>
      <c r="DW7" s="136"/>
      <c r="DX7" s="135"/>
      <c r="DY7" s="135"/>
      <c r="DZ7" s="136"/>
      <c r="EA7" s="135"/>
      <c r="EB7" s="135"/>
      <c r="EC7" s="136"/>
      <c r="ED7" s="135"/>
      <c r="EE7" s="135"/>
      <c r="EF7" s="136"/>
      <c r="EG7" s="135"/>
      <c r="EH7" s="135"/>
      <c r="EI7" s="136"/>
      <c r="EJ7" s="135"/>
      <c r="EK7" s="135"/>
      <c r="EL7" s="136"/>
      <c r="EM7" s="135"/>
      <c r="EN7" s="135"/>
      <c r="EO7" s="136"/>
    </row>
    <row r="8" spans="2:145" ht="11.25" customHeight="1" x14ac:dyDescent="0.2">
      <c r="B8" s="79" t="s">
        <v>953</v>
      </c>
      <c r="C8" s="125">
        <f>IF(('Coopa del Mondo 2014'!F13=""), "",'Coopa del Mondo 2014'!F13)</f>
        <v>1</v>
      </c>
      <c r="D8" s="125">
        <f>IF(('Coopa del Mondo 2014'!G13=""), "",'Coopa del Mondo 2014'!G13)</f>
        <v>3</v>
      </c>
      <c r="E8" s="86" t="s">
        <v>2319</v>
      </c>
      <c r="G8">
        <f>IF(ISBLANK('Coopa del Mondo 2014'!F13),0,1)</f>
        <v>1</v>
      </c>
      <c r="H8" s="132">
        <v>0</v>
      </c>
      <c r="I8" s="132">
        <v>0</v>
      </c>
      <c r="J8" s="126">
        <f t="shared" si="0"/>
        <v>0</v>
      </c>
      <c r="K8" s="132">
        <v>4</v>
      </c>
      <c r="L8" s="132">
        <v>0</v>
      </c>
      <c r="M8" s="126">
        <f t="shared" si="1"/>
        <v>0</v>
      </c>
      <c r="N8" s="132">
        <v>2</v>
      </c>
      <c r="O8" s="132">
        <v>1</v>
      </c>
      <c r="P8" s="126">
        <f t="shared" si="2"/>
        <v>0</v>
      </c>
      <c r="Q8" s="132">
        <v>2</v>
      </c>
      <c r="R8" s="132">
        <v>1</v>
      </c>
      <c r="S8" s="126">
        <f t="shared" si="3"/>
        <v>0</v>
      </c>
      <c r="T8" s="132">
        <v>1</v>
      </c>
      <c r="U8" s="132">
        <v>0</v>
      </c>
      <c r="V8" s="126">
        <f>IF($G8=1,(IF(AND($C8=$T8,$D8=$U8),3,(IF(AND($C8&gt;$D8,$T8&gt;$U8),1,(IF(AND($D8&gt;$C8,$U8&gt;$T8),1,(IF(AND($C8=$D8,$T8=$U8),1,0)))))))),"")</f>
        <v>0</v>
      </c>
      <c r="W8" s="135"/>
      <c r="X8" s="135"/>
      <c r="Y8" s="136"/>
      <c r="Z8" s="135"/>
      <c r="AA8" s="135"/>
      <c r="AB8" s="136"/>
      <c r="AC8" s="135"/>
      <c r="AD8" s="135"/>
      <c r="AE8" s="136"/>
      <c r="AF8" s="135"/>
      <c r="AG8" s="135"/>
      <c r="AH8" s="136"/>
      <c r="AI8" s="135"/>
      <c r="AJ8" s="135"/>
      <c r="AK8" s="136"/>
      <c r="AL8" s="135"/>
      <c r="AM8" s="135"/>
      <c r="AN8" s="136"/>
      <c r="AO8" s="135"/>
      <c r="AP8" s="135"/>
      <c r="AQ8" s="136"/>
      <c r="AR8" s="135"/>
      <c r="AS8" s="135"/>
      <c r="AT8" s="136"/>
      <c r="AU8" s="135"/>
      <c r="AV8" s="135"/>
      <c r="AW8" s="136"/>
      <c r="AX8" s="135"/>
      <c r="AY8" s="135"/>
      <c r="AZ8" s="136"/>
      <c r="BA8" s="135"/>
      <c r="BB8" s="135"/>
      <c r="BC8" s="136"/>
      <c r="BD8" s="135"/>
      <c r="BE8" s="135"/>
      <c r="BF8" s="136"/>
      <c r="BG8" s="135"/>
      <c r="BH8" s="135"/>
      <c r="BI8" s="136"/>
      <c r="BJ8" s="135"/>
      <c r="BK8" s="135"/>
      <c r="BL8" s="136"/>
      <c r="BM8" s="135"/>
      <c r="BN8" s="135"/>
      <c r="BO8" s="136"/>
      <c r="BP8" s="135"/>
      <c r="BQ8" s="135"/>
      <c r="BR8" s="136"/>
      <c r="BS8" s="135"/>
      <c r="BT8" s="135"/>
      <c r="BU8" s="136"/>
      <c r="BV8" s="135"/>
      <c r="BW8" s="135"/>
      <c r="BX8" s="136"/>
      <c r="BY8" s="135"/>
      <c r="BZ8" s="135"/>
      <c r="CA8" s="136"/>
      <c r="CB8" s="135"/>
      <c r="CC8" s="135"/>
      <c r="CD8" s="136"/>
      <c r="CE8" s="135"/>
      <c r="CF8" s="135"/>
      <c r="CG8" s="136"/>
      <c r="CH8" s="135"/>
      <c r="CI8" s="135"/>
      <c r="CJ8" s="136"/>
      <c r="CK8" s="135"/>
      <c r="CL8" s="135"/>
      <c r="CM8" s="136"/>
      <c r="CN8" s="135"/>
      <c r="CO8" s="135"/>
      <c r="CP8" s="136"/>
      <c r="CQ8" s="135"/>
      <c r="CR8" s="135"/>
      <c r="CS8" s="136"/>
      <c r="CT8" s="135"/>
      <c r="CU8" s="135"/>
      <c r="CV8" s="136"/>
      <c r="CW8" s="135"/>
      <c r="CX8" s="135"/>
      <c r="CY8" s="136"/>
      <c r="CZ8" s="135"/>
      <c r="DA8" s="135"/>
      <c r="DB8" s="136"/>
      <c r="DC8" s="135"/>
      <c r="DD8" s="135"/>
      <c r="DE8" s="136"/>
      <c r="DF8" s="135"/>
      <c r="DG8" s="135"/>
      <c r="DH8" s="136"/>
      <c r="DI8" s="135"/>
      <c r="DJ8" s="135"/>
      <c r="DK8" s="136"/>
      <c r="DL8" s="135"/>
      <c r="DM8" s="135"/>
      <c r="DN8" s="136"/>
      <c r="DO8" s="135"/>
      <c r="DP8" s="135"/>
      <c r="DQ8" s="136"/>
      <c r="DR8" s="135"/>
      <c r="DS8" s="135"/>
      <c r="DT8" s="136"/>
      <c r="DU8" s="135"/>
      <c r="DV8" s="135"/>
      <c r="DW8" s="136"/>
      <c r="DX8" s="135"/>
      <c r="DY8" s="135"/>
      <c r="DZ8" s="136"/>
      <c r="EA8" s="135"/>
      <c r="EB8" s="135"/>
      <c r="EC8" s="136"/>
      <c r="ED8" s="135"/>
      <c r="EE8" s="135"/>
      <c r="EF8" s="136"/>
      <c r="EG8" s="135"/>
      <c r="EH8" s="135"/>
      <c r="EI8" s="136"/>
      <c r="EJ8" s="135"/>
      <c r="EK8" s="135"/>
      <c r="EL8" s="136"/>
      <c r="EM8" s="135"/>
      <c r="EN8" s="135"/>
      <c r="EO8" s="136"/>
    </row>
    <row r="9" spans="2:145" ht="11.25" customHeight="1" x14ac:dyDescent="0.2">
      <c r="B9" s="79" t="s">
        <v>1468</v>
      </c>
      <c r="C9" s="125">
        <f>IF(('Coopa del Mondo 2014'!F14=""), "",'Coopa del Mondo 2014'!F14)</f>
        <v>1</v>
      </c>
      <c r="D9" s="125">
        <f>IF(('Coopa del Mondo 2014'!G14=""), "",'Coopa del Mondo 2014'!G14)</f>
        <v>2</v>
      </c>
      <c r="E9" s="86" t="s">
        <v>1022</v>
      </c>
      <c r="G9">
        <f>IF(ISBLANK('Coopa del Mondo 2014'!F14),0,1)</f>
        <v>1</v>
      </c>
      <c r="H9" s="132">
        <v>2</v>
      </c>
      <c r="I9" s="132">
        <v>1</v>
      </c>
      <c r="J9" s="126">
        <f t="shared" si="0"/>
        <v>0</v>
      </c>
      <c r="K9" s="132">
        <v>0</v>
      </c>
      <c r="L9" s="132">
        <v>0</v>
      </c>
      <c r="M9" s="126">
        <f t="shared" si="1"/>
        <v>0</v>
      </c>
      <c r="N9" s="132">
        <v>1</v>
      </c>
      <c r="O9" s="132">
        <v>1</v>
      </c>
      <c r="P9" s="126">
        <f t="shared" si="2"/>
        <v>0</v>
      </c>
      <c r="Q9" s="132">
        <v>0</v>
      </c>
      <c r="R9" s="132">
        <v>2</v>
      </c>
      <c r="S9" s="126">
        <f t="shared" si="3"/>
        <v>1</v>
      </c>
      <c r="T9" s="132">
        <v>1</v>
      </c>
      <c r="U9" s="132">
        <v>1</v>
      </c>
      <c r="V9" s="126">
        <f>IF($G9=1,(IF(AND($C9=$T9,$D9=$U9),3,(IF(AND($C9&gt;$D9,$T9&gt;$U9),1,(IF(AND($D9&gt;$C9,$U9&gt;$T9),1,(IF(AND($C9=$D9,$T9=$U9),1,0)))))))),"")</f>
        <v>0</v>
      </c>
      <c r="W9" s="135"/>
      <c r="X9" s="135"/>
      <c r="Y9" s="136"/>
      <c r="Z9" s="135"/>
      <c r="AA9" s="135"/>
      <c r="AB9" s="136"/>
      <c r="AC9" s="135"/>
      <c r="AD9" s="135"/>
      <c r="AE9" s="136"/>
      <c r="AF9" s="135"/>
      <c r="AG9" s="135"/>
      <c r="AH9" s="136"/>
      <c r="AI9" s="135"/>
      <c r="AJ9" s="135"/>
      <c r="AK9" s="136"/>
      <c r="AL9" s="135"/>
      <c r="AM9" s="135"/>
      <c r="AN9" s="136"/>
      <c r="AO9" s="135"/>
      <c r="AP9" s="135"/>
      <c r="AQ9" s="136"/>
      <c r="AR9" s="135"/>
      <c r="AS9" s="135"/>
      <c r="AT9" s="136"/>
      <c r="AU9" s="135"/>
      <c r="AV9" s="135"/>
      <c r="AW9" s="136"/>
      <c r="AX9" s="135"/>
      <c r="AY9" s="135"/>
      <c r="AZ9" s="136"/>
      <c r="BA9" s="135"/>
      <c r="BB9" s="135"/>
      <c r="BC9" s="136"/>
      <c r="BD9" s="135"/>
      <c r="BE9" s="135"/>
      <c r="BF9" s="136"/>
      <c r="BG9" s="135"/>
      <c r="BH9" s="135"/>
      <c r="BI9" s="136"/>
      <c r="BJ9" s="135"/>
      <c r="BK9" s="135"/>
      <c r="BL9" s="136"/>
      <c r="BM9" s="135"/>
      <c r="BN9" s="135"/>
      <c r="BO9" s="136"/>
      <c r="BP9" s="135"/>
      <c r="BQ9" s="135"/>
      <c r="BR9" s="136"/>
      <c r="BS9" s="135"/>
      <c r="BT9" s="135"/>
      <c r="BU9" s="136"/>
      <c r="BV9" s="135"/>
      <c r="BW9" s="135"/>
      <c r="BX9" s="136"/>
      <c r="BY9" s="135"/>
      <c r="BZ9" s="135"/>
      <c r="CA9" s="136"/>
      <c r="CB9" s="135"/>
      <c r="CC9" s="135"/>
      <c r="CD9" s="136"/>
      <c r="CE9" s="135"/>
      <c r="CF9" s="135"/>
      <c r="CG9" s="136"/>
      <c r="CH9" s="135"/>
      <c r="CI9" s="135"/>
      <c r="CJ9" s="136"/>
      <c r="CK9" s="135"/>
      <c r="CL9" s="135"/>
      <c r="CM9" s="136"/>
      <c r="CN9" s="135"/>
      <c r="CO9" s="135"/>
      <c r="CP9" s="136"/>
      <c r="CQ9" s="135"/>
      <c r="CR9" s="135"/>
      <c r="CS9" s="136"/>
      <c r="CT9" s="135"/>
      <c r="CU9" s="135"/>
      <c r="CV9" s="136"/>
      <c r="CW9" s="135"/>
      <c r="CX9" s="135"/>
      <c r="CY9" s="136"/>
      <c r="CZ9" s="135"/>
      <c r="DA9" s="135"/>
      <c r="DB9" s="136"/>
      <c r="DC9" s="135"/>
      <c r="DD9" s="135"/>
      <c r="DE9" s="136"/>
      <c r="DF9" s="135"/>
      <c r="DG9" s="135"/>
      <c r="DH9" s="136"/>
      <c r="DI9" s="135"/>
      <c r="DJ9" s="135"/>
      <c r="DK9" s="136"/>
      <c r="DL9" s="135"/>
      <c r="DM9" s="135"/>
      <c r="DN9" s="136"/>
      <c r="DO9" s="135"/>
      <c r="DP9" s="135"/>
      <c r="DQ9" s="136"/>
      <c r="DR9" s="135"/>
      <c r="DS9" s="135"/>
      <c r="DT9" s="136"/>
      <c r="DU9" s="135"/>
      <c r="DV9" s="135"/>
      <c r="DW9" s="136"/>
      <c r="DX9" s="135"/>
      <c r="DY9" s="135"/>
      <c r="DZ9" s="136"/>
      <c r="EA9" s="135"/>
      <c r="EB9" s="135"/>
      <c r="EC9" s="136"/>
      <c r="ED9" s="135"/>
      <c r="EE9" s="135"/>
      <c r="EF9" s="136"/>
      <c r="EG9" s="135"/>
      <c r="EH9" s="135"/>
      <c r="EI9" s="136"/>
      <c r="EJ9" s="135"/>
      <c r="EK9" s="135"/>
      <c r="EL9" s="136"/>
      <c r="EM9" s="135"/>
      <c r="EN9" s="135"/>
      <c r="EO9" s="136"/>
    </row>
    <row r="10" spans="2:145" ht="11.25" customHeight="1" x14ac:dyDescent="0.2">
      <c r="B10" s="79" t="s">
        <v>1475</v>
      </c>
      <c r="C10" s="125">
        <f>IF(('Coopa del Mondo 2014'!F15=""), "",'Coopa del Mondo 2014'!F15)</f>
        <v>2</v>
      </c>
      <c r="D10" s="125">
        <f>IF(('Coopa del Mondo 2014'!G15=""), "",'Coopa del Mondo 2014'!G15)</f>
        <v>1</v>
      </c>
      <c r="E10" s="86" t="s">
        <v>2257</v>
      </c>
      <c r="G10">
        <f>IF(ISBLANK('Coopa del Mondo 2014'!F15),0,1)</f>
        <v>1</v>
      </c>
      <c r="H10" s="132">
        <v>0</v>
      </c>
      <c r="I10" s="132">
        <v>0</v>
      </c>
      <c r="J10" s="126">
        <f t="shared" si="0"/>
        <v>0</v>
      </c>
      <c r="K10" s="132">
        <v>1</v>
      </c>
      <c r="L10" s="132">
        <v>0</v>
      </c>
      <c r="M10" s="126">
        <f t="shared" si="1"/>
        <v>1</v>
      </c>
      <c r="N10" s="132">
        <v>2</v>
      </c>
      <c r="O10" s="132">
        <v>1</v>
      </c>
      <c r="P10" s="126">
        <f t="shared" si="2"/>
        <v>3</v>
      </c>
      <c r="Q10" s="132">
        <v>0</v>
      </c>
      <c r="R10" s="132">
        <v>3</v>
      </c>
      <c r="S10" s="126">
        <f t="shared" si="3"/>
        <v>0</v>
      </c>
      <c r="T10" s="132">
        <v>0</v>
      </c>
      <c r="U10" s="132">
        <v>0</v>
      </c>
      <c r="V10" s="126">
        <f>IF($G10=1,(IF(AND($C10=$T10,$D10=$U10),3,(IF(AND($C10&gt;$D10,$T10&gt;$U10),1,(IF(AND($D10&gt;$C10,$U10&gt;$T10),1,(IF(AND($C10=$D10,$T10=$U10),1,0)))))))),"")</f>
        <v>0</v>
      </c>
      <c r="W10" s="135"/>
      <c r="X10" s="135"/>
      <c r="Y10" s="136"/>
      <c r="Z10" s="135"/>
      <c r="AA10" s="135"/>
      <c r="AB10" s="136"/>
      <c r="AC10" s="135"/>
      <c r="AD10" s="135"/>
      <c r="AE10" s="136"/>
      <c r="AF10" s="135"/>
      <c r="AG10" s="135"/>
      <c r="AH10" s="136"/>
      <c r="AI10" s="135"/>
      <c r="AJ10" s="135"/>
      <c r="AK10" s="136"/>
      <c r="AL10" s="135"/>
      <c r="AM10" s="135"/>
      <c r="AN10" s="136"/>
      <c r="AO10" s="135"/>
      <c r="AP10" s="135"/>
      <c r="AQ10" s="136"/>
      <c r="AR10" s="135"/>
      <c r="AS10" s="135"/>
      <c r="AT10" s="136"/>
      <c r="AU10" s="135"/>
      <c r="AV10" s="135"/>
      <c r="AW10" s="136"/>
      <c r="AX10" s="135"/>
      <c r="AY10" s="135"/>
      <c r="AZ10" s="136"/>
      <c r="BA10" s="135"/>
      <c r="BB10" s="135"/>
      <c r="BC10" s="136"/>
      <c r="BD10" s="135"/>
      <c r="BE10" s="135"/>
      <c r="BF10" s="136"/>
      <c r="BG10" s="135"/>
      <c r="BH10" s="135"/>
      <c r="BI10" s="136"/>
      <c r="BJ10" s="135"/>
      <c r="BK10" s="135"/>
      <c r="BL10" s="136"/>
      <c r="BM10" s="135"/>
      <c r="BN10" s="135"/>
      <c r="BO10" s="136"/>
      <c r="BP10" s="135"/>
      <c r="BQ10" s="135"/>
      <c r="BR10" s="136"/>
      <c r="BS10" s="135"/>
      <c r="BT10" s="135"/>
      <c r="BU10" s="136"/>
      <c r="BV10" s="135"/>
      <c r="BW10" s="135"/>
      <c r="BX10" s="136"/>
      <c r="BY10" s="135"/>
      <c r="BZ10" s="135"/>
      <c r="CA10" s="136"/>
      <c r="CB10" s="135"/>
      <c r="CC10" s="135"/>
      <c r="CD10" s="136"/>
      <c r="CE10" s="135"/>
      <c r="CF10" s="135"/>
      <c r="CG10" s="136"/>
      <c r="CH10" s="135"/>
      <c r="CI10" s="135"/>
      <c r="CJ10" s="136"/>
      <c r="CK10" s="135"/>
      <c r="CL10" s="135"/>
      <c r="CM10" s="136"/>
      <c r="CN10" s="135"/>
      <c r="CO10" s="135"/>
      <c r="CP10" s="136"/>
      <c r="CQ10" s="135"/>
      <c r="CR10" s="135"/>
      <c r="CS10" s="136"/>
      <c r="CT10" s="135"/>
      <c r="CU10" s="135"/>
      <c r="CV10" s="136"/>
      <c r="CW10" s="135"/>
      <c r="CX10" s="135"/>
      <c r="CY10" s="136"/>
      <c r="CZ10" s="135"/>
      <c r="DA10" s="135"/>
      <c r="DB10" s="136"/>
      <c r="DC10" s="135"/>
      <c r="DD10" s="135"/>
      <c r="DE10" s="136"/>
      <c r="DF10" s="135"/>
      <c r="DG10" s="135"/>
      <c r="DH10" s="136"/>
      <c r="DI10" s="135"/>
      <c r="DJ10" s="135"/>
      <c r="DK10" s="136"/>
      <c r="DL10" s="135"/>
      <c r="DM10" s="135"/>
      <c r="DN10" s="136"/>
      <c r="DO10" s="135"/>
      <c r="DP10" s="135"/>
      <c r="DQ10" s="136"/>
      <c r="DR10" s="135"/>
      <c r="DS10" s="135"/>
      <c r="DT10" s="136"/>
      <c r="DU10" s="135"/>
      <c r="DV10" s="135"/>
      <c r="DW10" s="136"/>
      <c r="DX10" s="135"/>
      <c r="DY10" s="135"/>
      <c r="DZ10" s="136"/>
      <c r="EA10" s="135"/>
      <c r="EB10" s="135"/>
      <c r="EC10" s="136"/>
      <c r="ED10" s="135"/>
      <c r="EE10" s="135"/>
      <c r="EF10" s="136"/>
      <c r="EG10" s="135"/>
      <c r="EH10" s="135"/>
      <c r="EI10" s="136"/>
      <c r="EJ10" s="135"/>
      <c r="EK10" s="135"/>
      <c r="EL10" s="136"/>
      <c r="EM10" s="135"/>
      <c r="EN10" s="135"/>
      <c r="EO10" s="136"/>
    </row>
    <row r="11" spans="2:145" ht="11.25" customHeight="1" x14ac:dyDescent="0.2">
      <c r="B11" s="79" t="s">
        <v>1013</v>
      </c>
      <c r="C11" s="125">
        <f>IF(('Coopa del Mondo 2014'!F16=""), "",'Coopa del Mondo 2014'!F16)</f>
        <v>3</v>
      </c>
      <c r="D11" s="125">
        <f>IF(('Coopa del Mondo 2014'!G16=""), "",'Coopa del Mondo 2014'!G16)</f>
        <v>0</v>
      </c>
      <c r="E11" s="86" t="s">
        <v>971</v>
      </c>
      <c r="G11">
        <f>IF(ISBLANK('Coopa del Mondo 2014'!F16),0,1)</f>
        <v>1</v>
      </c>
      <c r="H11" s="132">
        <v>3</v>
      </c>
      <c r="I11" s="132">
        <v>0</v>
      </c>
      <c r="J11" s="126">
        <f t="shared" si="0"/>
        <v>3</v>
      </c>
      <c r="K11" s="132">
        <v>1</v>
      </c>
      <c r="L11" s="132">
        <v>0</v>
      </c>
      <c r="M11" s="126">
        <f t="shared" si="1"/>
        <v>1</v>
      </c>
      <c r="N11" s="132">
        <v>2</v>
      </c>
      <c r="O11" s="132">
        <v>1</v>
      </c>
      <c r="P11" s="126">
        <f t="shared" si="2"/>
        <v>1</v>
      </c>
      <c r="Q11" s="132">
        <v>2</v>
      </c>
      <c r="R11" s="132">
        <v>2</v>
      </c>
      <c r="S11" s="126">
        <f t="shared" si="3"/>
        <v>0</v>
      </c>
      <c r="T11" s="132">
        <v>2</v>
      </c>
      <c r="U11" s="132">
        <v>0</v>
      </c>
      <c r="V11" s="126">
        <f>IF($G11=1,(IF(AND($C11=$T11,$D11=$U11),3,(IF(AND($C11&gt;$D11,$T11&gt;$U11),1,(IF(AND($D11&gt;$C11,$U11&gt;$T11),1,(IF(AND($C11=$D11,$T11=$U11),1,0)))))))),"")</f>
        <v>1</v>
      </c>
      <c r="W11" s="135"/>
      <c r="X11" s="135"/>
      <c r="Y11" s="136"/>
      <c r="Z11" s="135"/>
      <c r="AA11" s="135"/>
      <c r="AB11" s="136"/>
      <c r="AC11" s="135"/>
      <c r="AD11" s="135"/>
      <c r="AE11" s="136"/>
      <c r="AF11" s="135"/>
      <c r="AG11" s="135"/>
      <c r="AH11" s="136"/>
      <c r="AI11" s="135"/>
      <c r="AJ11" s="135"/>
      <c r="AK11" s="136"/>
      <c r="AL11" s="135"/>
      <c r="AM11" s="135"/>
      <c r="AN11" s="136"/>
      <c r="AO11" s="135"/>
      <c r="AP11" s="135"/>
      <c r="AQ11" s="136"/>
      <c r="AR11" s="135"/>
      <c r="AS11" s="135"/>
      <c r="AT11" s="136"/>
      <c r="AU11" s="135"/>
      <c r="AV11" s="135"/>
      <c r="AW11" s="136"/>
      <c r="AX11" s="135"/>
      <c r="AY11" s="135"/>
      <c r="AZ11" s="136"/>
      <c r="BA11" s="135"/>
      <c r="BB11" s="135"/>
      <c r="BC11" s="136"/>
      <c r="BD11" s="135"/>
      <c r="BE11" s="135"/>
      <c r="BF11" s="136"/>
      <c r="BG11" s="135"/>
      <c r="BH11" s="135"/>
      <c r="BI11" s="136"/>
      <c r="BJ11" s="135"/>
      <c r="BK11" s="135"/>
      <c r="BL11" s="136"/>
      <c r="BM11" s="135"/>
      <c r="BN11" s="135"/>
      <c r="BO11" s="136"/>
      <c r="BP11" s="135"/>
      <c r="BQ11" s="135"/>
      <c r="BR11" s="136"/>
      <c r="BS11" s="135"/>
      <c r="BT11" s="135"/>
      <c r="BU11" s="136"/>
      <c r="BV11" s="135"/>
      <c r="BW11" s="135"/>
      <c r="BX11" s="136"/>
      <c r="BY11" s="135"/>
      <c r="BZ11" s="135"/>
      <c r="CA11" s="136"/>
      <c r="CB11" s="135"/>
      <c r="CC11" s="135"/>
      <c r="CD11" s="136"/>
      <c r="CE11" s="135"/>
      <c r="CF11" s="135"/>
      <c r="CG11" s="136"/>
      <c r="CH11" s="135"/>
      <c r="CI11" s="135"/>
      <c r="CJ11" s="136"/>
      <c r="CK11" s="135"/>
      <c r="CL11" s="135"/>
      <c r="CM11" s="136"/>
      <c r="CN11" s="135"/>
      <c r="CO11" s="135"/>
      <c r="CP11" s="136"/>
      <c r="CQ11" s="135"/>
      <c r="CR11" s="135"/>
      <c r="CS11" s="136"/>
      <c r="CT11" s="135"/>
      <c r="CU11" s="135"/>
      <c r="CV11" s="136"/>
      <c r="CW11" s="135"/>
      <c r="CX11" s="135"/>
      <c r="CY11" s="136"/>
      <c r="CZ11" s="135"/>
      <c r="DA11" s="135"/>
      <c r="DB11" s="136"/>
      <c r="DC11" s="135"/>
      <c r="DD11" s="135"/>
      <c r="DE11" s="136"/>
      <c r="DF11" s="135"/>
      <c r="DG11" s="135"/>
      <c r="DH11" s="136"/>
      <c r="DI11" s="135"/>
      <c r="DJ11" s="135"/>
      <c r="DK11" s="136"/>
      <c r="DL11" s="135"/>
      <c r="DM11" s="135"/>
      <c r="DN11" s="136"/>
      <c r="DO11" s="135"/>
      <c r="DP11" s="135"/>
      <c r="DQ11" s="136"/>
      <c r="DR11" s="135"/>
      <c r="DS11" s="135"/>
      <c r="DT11" s="136"/>
      <c r="DU11" s="135"/>
      <c r="DV11" s="135"/>
      <c r="DW11" s="136"/>
      <c r="DX11" s="135"/>
      <c r="DY11" s="135"/>
      <c r="DZ11" s="136"/>
      <c r="EA11" s="135"/>
      <c r="EB11" s="135"/>
      <c r="EC11" s="136"/>
      <c r="ED11" s="135"/>
      <c r="EE11" s="135"/>
      <c r="EF11" s="136"/>
      <c r="EG11" s="135"/>
      <c r="EH11" s="135"/>
      <c r="EI11" s="136"/>
      <c r="EJ11" s="135"/>
      <c r="EK11" s="135"/>
      <c r="EL11" s="136"/>
      <c r="EM11" s="135"/>
      <c r="EN11" s="135"/>
      <c r="EO11" s="136"/>
    </row>
    <row r="12" spans="2:145" ht="11.25" customHeight="1" x14ac:dyDescent="0.2">
      <c r="B12" s="79" t="s">
        <v>954</v>
      </c>
      <c r="C12" s="125">
        <f>IF(('Coopa del Mondo 2014'!F17=""), "",'Coopa del Mondo 2014'!F17)</f>
        <v>2</v>
      </c>
      <c r="D12" s="125">
        <f>IF(('Coopa del Mondo 2014'!G17=""), "",'Coopa del Mondo 2014'!G17)</f>
        <v>1</v>
      </c>
      <c r="E12" s="86" t="s">
        <v>2375</v>
      </c>
      <c r="G12">
        <f>IF(ISBLANK('Coopa del Mondo 2014'!F17),0,1)</f>
        <v>1</v>
      </c>
      <c r="H12" s="132">
        <v>3</v>
      </c>
      <c r="I12" s="132">
        <v>1</v>
      </c>
      <c r="J12" s="126">
        <f t="shared" si="0"/>
        <v>1</v>
      </c>
      <c r="K12" s="132">
        <v>2</v>
      </c>
      <c r="L12" s="132">
        <v>1</v>
      </c>
      <c r="M12" s="126">
        <f t="shared" si="1"/>
        <v>3</v>
      </c>
      <c r="N12" s="132">
        <v>2</v>
      </c>
      <c r="O12" s="132">
        <v>0</v>
      </c>
      <c r="P12" s="126">
        <f t="shared" si="2"/>
        <v>1</v>
      </c>
      <c r="Q12" s="132">
        <v>3</v>
      </c>
      <c r="R12" s="132">
        <v>1</v>
      </c>
      <c r="S12" s="126">
        <f t="shared" si="3"/>
        <v>1</v>
      </c>
      <c r="T12" s="132">
        <v>1</v>
      </c>
      <c r="U12" s="132">
        <v>0</v>
      </c>
      <c r="V12" s="126">
        <f>IF($G12=1,(IF(AND($C12=$T12,$D12=$U12),3,(IF(AND($C12&gt;$D12,$T12&gt;$U12),1,(IF(AND($D12&gt;$C12,$U12&gt;$T12),1,(IF(AND($C12=$D12,$T12=$U12),1,0)))))))),"")</f>
        <v>1</v>
      </c>
      <c r="W12" s="135"/>
      <c r="X12" s="135"/>
      <c r="Y12" s="136"/>
      <c r="Z12" s="135"/>
      <c r="AA12" s="135"/>
      <c r="AB12" s="136"/>
      <c r="AC12" s="135"/>
      <c r="AD12" s="135"/>
      <c r="AE12" s="136"/>
      <c r="AF12" s="135"/>
      <c r="AG12" s="135"/>
      <c r="AH12" s="136"/>
      <c r="AI12" s="135"/>
      <c r="AJ12" s="135"/>
      <c r="AK12" s="136"/>
      <c r="AL12" s="135"/>
      <c r="AM12" s="135"/>
      <c r="AN12" s="136"/>
      <c r="AO12" s="135"/>
      <c r="AP12" s="135"/>
      <c r="AQ12" s="136"/>
      <c r="AR12" s="135"/>
      <c r="AS12" s="135"/>
      <c r="AT12" s="136"/>
      <c r="AU12" s="135"/>
      <c r="AV12" s="135"/>
      <c r="AW12" s="136"/>
      <c r="AX12" s="135"/>
      <c r="AY12" s="135"/>
      <c r="AZ12" s="136"/>
      <c r="BA12" s="135"/>
      <c r="BB12" s="135"/>
      <c r="BC12" s="136"/>
      <c r="BD12" s="135"/>
      <c r="BE12" s="135"/>
      <c r="BF12" s="136"/>
      <c r="BG12" s="135"/>
      <c r="BH12" s="135"/>
      <c r="BI12" s="136"/>
      <c r="BJ12" s="135"/>
      <c r="BK12" s="135"/>
      <c r="BL12" s="136"/>
      <c r="BM12" s="135"/>
      <c r="BN12" s="135"/>
      <c r="BO12" s="136"/>
      <c r="BP12" s="135"/>
      <c r="BQ12" s="135"/>
      <c r="BR12" s="136"/>
      <c r="BS12" s="135"/>
      <c r="BT12" s="135"/>
      <c r="BU12" s="136"/>
      <c r="BV12" s="135"/>
      <c r="BW12" s="135"/>
      <c r="BX12" s="136"/>
      <c r="BY12" s="135"/>
      <c r="BZ12" s="135"/>
      <c r="CA12" s="136"/>
      <c r="CB12" s="135"/>
      <c r="CC12" s="135"/>
      <c r="CD12" s="136"/>
      <c r="CE12" s="135"/>
      <c r="CF12" s="135"/>
      <c r="CG12" s="136"/>
      <c r="CH12" s="135"/>
      <c r="CI12" s="135"/>
      <c r="CJ12" s="136"/>
      <c r="CK12" s="135"/>
      <c r="CL12" s="135"/>
      <c r="CM12" s="136"/>
      <c r="CN12" s="135"/>
      <c r="CO12" s="135"/>
      <c r="CP12" s="136"/>
      <c r="CQ12" s="135"/>
      <c r="CR12" s="135"/>
      <c r="CS12" s="136"/>
      <c r="CT12" s="135"/>
      <c r="CU12" s="135"/>
      <c r="CV12" s="136"/>
      <c r="CW12" s="135"/>
      <c r="CX12" s="135"/>
      <c r="CY12" s="136"/>
      <c r="CZ12" s="135"/>
      <c r="DA12" s="135"/>
      <c r="DB12" s="136"/>
      <c r="DC12" s="135"/>
      <c r="DD12" s="135"/>
      <c r="DE12" s="136"/>
      <c r="DF12" s="135"/>
      <c r="DG12" s="135"/>
      <c r="DH12" s="136"/>
      <c r="DI12" s="135"/>
      <c r="DJ12" s="135"/>
      <c r="DK12" s="136"/>
      <c r="DL12" s="135"/>
      <c r="DM12" s="135"/>
      <c r="DN12" s="136"/>
      <c r="DO12" s="135"/>
      <c r="DP12" s="135"/>
      <c r="DQ12" s="136"/>
      <c r="DR12" s="135"/>
      <c r="DS12" s="135"/>
      <c r="DT12" s="136"/>
      <c r="DU12" s="135"/>
      <c r="DV12" s="135"/>
      <c r="DW12" s="136"/>
      <c r="DX12" s="135"/>
      <c r="DY12" s="135"/>
      <c r="DZ12" s="136"/>
      <c r="EA12" s="135"/>
      <c r="EB12" s="135"/>
      <c r="EC12" s="136"/>
      <c r="ED12" s="135"/>
      <c r="EE12" s="135"/>
      <c r="EF12" s="136"/>
      <c r="EG12" s="135"/>
      <c r="EH12" s="135"/>
      <c r="EI12" s="136"/>
      <c r="EJ12" s="135"/>
      <c r="EK12" s="135"/>
      <c r="EL12" s="136"/>
      <c r="EM12" s="135"/>
      <c r="EN12" s="135"/>
      <c r="EO12" s="136"/>
    </row>
    <row r="13" spans="2:145" ht="11.25" customHeight="1" x14ac:dyDescent="0.2">
      <c r="B13" s="79" t="s">
        <v>1469</v>
      </c>
      <c r="C13" s="125">
        <f>IF(('Coopa del Mondo 2014'!F18=""), "",'Coopa del Mondo 2014'!F18)</f>
        <v>4</v>
      </c>
      <c r="D13" s="125">
        <f>IF(('Coopa del Mondo 2014'!G18=""), "",'Coopa del Mondo 2014'!G18)</f>
        <v>0</v>
      </c>
      <c r="E13" s="86" t="s">
        <v>1473</v>
      </c>
      <c r="G13">
        <f>IF(ISBLANK('Coopa del Mondo 2014'!F18),0,1)</f>
        <v>1</v>
      </c>
      <c r="H13" s="132">
        <v>2</v>
      </c>
      <c r="I13" s="132">
        <v>1</v>
      </c>
      <c r="J13" s="126">
        <f t="shared" si="0"/>
        <v>1</v>
      </c>
      <c r="K13" s="132">
        <v>1</v>
      </c>
      <c r="L13" s="132">
        <v>1</v>
      </c>
      <c r="M13" s="126">
        <f t="shared" si="1"/>
        <v>0</v>
      </c>
      <c r="N13" s="132">
        <v>1</v>
      </c>
      <c r="O13" s="132">
        <v>0</v>
      </c>
      <c r="P13" s="126">
        <f t="shared" si="2"/>
        <v>1</v>
      </c>
      <c r="Q13" s="132">
        <v>2</v>
      </c>
      <c r="R13" s="132">
        <v>1</v>
      </c>
      <c r="S13" s="126">
        <f t="shared" si="3"/>
        <v>1</v>
      </c>
      <c r="T13" s="132">
        <v>2</v>
      </c>
      <c r="U13" s="132">
        <v>0</v>
      </c>
      <c r="V13" s="126">
        <f>IF($G13=1,(IF(AND($C13=$T13,$D13=$U13),3,(IF(AND($C13&gt;$D13,$T13&gt;$U13),1,(IF(AND($D13&gt;$C13,$U13&gt;$T13),1,(IF(AND($C13=$D13,$T13=$U13),1,0)))))))),"")</f>
        <v>1</v>
      </c>
      <c r="W13" s="135"/>
      <c r="X13" s="135"/>
      <c r="Y13" s="136"/>
      <c r="Z13" s="135"/>
      <c r="AA13" s="135"/>
      <c r="AB13" s="136"/>
      <c r="AC13" s="135"/>
      <c r="AD13" s="135"/>
      <c r="AE13" s="136"/>
      <c r="AF13" s="135"/>
      <c r="AG13" s="135"/>
      <c r="AH13" s="136"/>
      <c r="AI13" s="135"/>
      <c r="AJ13" s="135"/>
      <c r="AK13" s="136"/>
      <c r="AL13" s="135"/>
      <c r="AM13" s="135"/>
      <c r="AN13" s="136"/>
      <c r="AO13" s="135"/>
      <c r="AP13" s="135"/>
      <c r="AQ13" s="136"/>
      <c r="AR13" s="135"/>
      <c r="AS13" s="135"/>
      <c r="AT13" s="136"/>
      <c r="AU13" s="135"/>
      <c r="AV13" s="135"/>
      <c r="AW13" s="136"/>
      <c r="AX13" s="135"/>
      <c r="AY13" s="135"/>
      <c r="AZ13" s="136"/>
      <c r="BA13" s="135"/>
      <c r="BB13" s="135"/>
      <c r="BC13" s="136"/>
      <c r="BD13" s="135"/>
      <c r="BE13" s="135"/>
      <c r="BF13" s="136"/>
      <c r="BG13" s="135"/>
      <c r="BH13" s="135"/>
      <c r="BI13" s="136"/>
      <c r="BJ13" s="135"/>
      <c r="BK13" s="135"/>
      <c r="BL13" s="136"/>
      <c r="BM13" s="135"/>
      <c r="BN13" s="135"/>
      <c r="BO13" s="136"/>
      <c r="BP13" s="135"/>
      <c r="BQ13" s="135"/>
      <c r="BR13" s="136"/>
      <c r="BS13" s="135"/>
      <c r="BT13" s="135"/>
      <c r="BU13" s="136"/>
      <c r="BV13" s="135"/>
      <c r="BW13" s="135"/>
      <c r="BX13" s="136"/>
      <c r="BY13" s="135"/>
      <c r="BZ13" s="135"/>
      <c r="CA13" s="136"/>
      <c r="CB13" s="135"/>
      <c r="CC13" s="135"/>
      <c r="CD13" s="136"/>
      <c r="CE13" s="135"/>
      <c r="CF13" s="135"/>
      <c r="CG13" s="136"/>
      <c r="CH13" s="135"/>
      <c r="CI13" s="135"/>
      <c r="CJ13" s="136"/>
      <c r="CK13" s="135"/>
      <c r="CL13" s="135"/>
      <c r="CM13" s="136"/>
      <c r="CN13" s="135"/>
      <c r="CO13" s="135"/>
      <c r="CP13" s="136"/>
      <c r="CQ13" s="135"/>
      <c r="CR13" s="135"/>
      <c r="CS13" s="136"/>
      <c r="CT13" s="135"/>
      <c r="CU13" s="135"/>
      <c r="CV13" s="136"/>
      <c r="CW13" s="135"/>
      <c r="CX13" s="135"/>
      <c r="CY13" s="136"/>
      <c r="CZ13" s="135"/>
      <c r="DA13" s="135"/>
      <c r="DB13" s="136"/>
      <c r="DC13" s="135"/>
      <c r="DD13" s="135"/>
      <c r="DE13" s="136"/>
      <c r="DF13" s="135"/>
      <c r="DG13" s="135"/>
      <c r="DH13" s="136"/>
      <c r="DI13" s="135"/>
      <c r="DJ13" s="135"/>
      <c r="DK13" s="136"/>
      <c r="DL13" s="135"/>
      <c r="DM13" s="135"/>
      <c r="DN13" s="136"/>
      <c r="DO13" s="135"/>
      <c r="DP13" s="135"/>
      <c r="DQ13" s="136"/>
      <c r="DR13" s="135"/>
      <c r="DS13" s="135"/>
      <c r="DT13" s="136"/>
      <c r="DU13" s="135"/>
      <c r="DV13" s="135"/>
      <c r="DW13" s="136"/>
      <c r="DX13" s="135"/>
      <c r="DY13" s="135"/>
      <c r="DZ13" s="136"/>
      <c r="EA13" s="135"/>
      <c r="EB13" s="135"/>
      <c r="EC13" s="136"/>
      <c r="ED13" s="135"/>
      <c r="EE13" s="135"/>
      <c r="EF13" s="136"/>
      <c r="EG13" s="135"/>
      <c r="EH13" s="135"/>
      <c r="EI13" s="136"/>
      <c r="EJ13" s="135"/>
      <c r="EK13" s="135"/>
      <c r="EL13" s="136"/>
      <c r="EM13" s="135"/>
      <c r="EN13" s="135"/>
      <c r="EO13" s="136"/>
    </row>
    <row r="14" spans="2:145" ht="11.25" customHeight="1" x14ac:dyDescent="0.2">
      <c r="B14" s="79" t="s">
        <v>2259</v>
      </c>
      <c r="C14" s="125">
        <f>IF(('Coopa del Mondo 2014'!F19=""), "",'Coopa del Mondo 2014'!F19)</f>
        <v>0</v>
      </c>
      <c r="D14" s="125">
        <f>IF(('Coopa del Mondo 2014'!G19=""), "",'Coopa del Mondo 2014'!G19)</f>
        <v>0</v>
      </c>
      <c r="E14" s="86" t="s">
        <v>955</v>
      </c>
      <c r="G14">
        <f>IF(ISBLANK('Coopa del Mondo 2014'!F19),0,1)</f>
        <v>1</v>
      </c>
      <c r="H14" s="132">
        <v>1</v>
      </c>
      <c r="I14" s="132">
        <v>1</v>
      </c>
      <c r="J14" s="126">
        <f t="shared" si="0"/>
        <v>1</v>
      </c>
      <c r="K14" s="132">
        <v>0</v>
      </c>
      <c r="L14" s="132">
        <v>2</v>
      </c>
      <c r="M14" s="126">
        <f t="shared" si="1"/>
        <v>0</v>
      </c>
      <c r="N14" s="132">
        <v>1</v>
      </c>
      <c r="O14" s="132">
        <v>0</v>
      </c>
      <c r="P14" s="126">
        <f t="shared" si="2"/>
        <v>0</v>
      </c>
      <c r="Q14" s="132">
        <v>1</v>
      </c>
      <c r="R14" s="132">
        <v>4</v>
      </c>
      <c r="S14" s="126">
        <f t="shared" si="3"/>
        <v>0</v>
      </c>
      <c r="T14" s="132">
        <v>1</v>
      </c>
      <c r="U14" s="132">
        <v>1</v>
      </c>
      <c r="V14" s="126">
        <f>IF($G14=1,(IF(AND($C14=$T14,$D14=$U14),3,(IF(AND($C14&gt;$D14,$T14&gt;$U14),1,(IF(AND($D14&gt;$C14,$U14&gt;$T14),1,(IF(AND($C14=$D14,$T14=$U14),1,0)))))))),"")</f>
        <v>1</v>
      </c>
      <c r="W14" s="135"/>
      <c r="X14" s="135"/>
      <c r="Y14" s="136"/>
      <c r="Z14" s="135"/>
      <c r="AA14" s="135"/>
      <c r="AB14" s="136"/>
      <c r="AC14" s="135"/>
      <c r="AD14" s="135"/>
      <c r="AE14" s="136"/>
      <c r="AF14" s="135"/>
      <c r="AG14" s="135"/>
      <c r="AH14" s="136"/>
      <c r="AI14" s="135"/>
      <c r="AJ14" s="135"/>
      <c r="AK14" s="136"/>
      <c r="AL14" s="135"/>
      <c r="AM14" s="135"/>
      <c r="AN14" s="136"/>
      <c r="AO14" s="135"/>
      <c r="AP14" s="135"/>
      <c r="AQ14" s="136"/>
      <c r="AR14" s="135"/>
      <c r="AS14" s="135"/>
      <c r="AT14" s="136"/>
      <c r="AU14" s="135"/>
      <c r="AV14" s="135"/>
      <c r="AW14" s="136"/>
      <c r="AX14" s="135"/>
      <c r="AY14" s="135"/>
      <c r="AZ14" s="136"/>
      <c r="BA14" s="135"/>
      <c r="BB14" s="135"/>
      <c r="BC14" s="136"/>
      <c r="BD14" s="135"/>
      <c r="BE14" s="135"/>
      <c r="BF14" s="136"/>
      <c r="BG14" s="135"/>
      <c r="BH14" s="135"/>
      <c r="BI14" s="136"/>
      <c r="BJ14" s="135"/>
      <c r="BK14" s="135"/>
      <c r="BL14" s="136"/>
      <c r="BM14" s="135"/>
      <c r="BN14" s="135"/>
      <c r="BO14" s="136"/>
      <c r="BP14" s="135"/>
      <c r="BQ14" s="135"/>
      <c r="BR14" s="136"/>
      <c r="BS14" s="135"/>
      <c r="BT14" s="135"/>
      <c r="BU14" s="136"/>
      <c r="BV14" s="135"/>
      <c r="BW14" s="135"/>
      <c r="BX14" s="136"/>
      <c r="BY14" s="135"/>
      <c r="BZ14" s="135"/>
      <c r="CA14" s="136"/>
      <c r="CB14" s="135"/>
      <c r="CC14" s="135"/>
      <c r="CD14" s="136"/>
      <c r="CE14" s="135"/>
      <c r="CF14" s="135"/>
      <c r="CG14" s="136"/>
      <c r="CH14" s="135"/>
      <c r="CI14" s="135"/>
      <c r="CJ14" s="136"/>
      <c r="CK14" s="135"/>
      <c r="CL14" s="135"/>
      <c r="CM14" s="136"/>
      <c r="CN14" s="135"/>
      <c r="CO14" s="135"/>
      <c r="CP14" s="136"/>
      <c r="CQ14" s="135"/>
      <c r="CR14" s="135"/>
      <c r="CS14" s="136"/>
      <c r="CT14" s="135"/>
      <c r="CU14" s="135"/>
      <c r="CV14" s="136"/>
      <c r="CW14" s="135"/>
      <c r="CX14" s="135"/>
      <c r="CY14" s="136"/>
      <c r="CZ14" s="135"/>
      <c r="DA14" s="135"/>
      <c r="DB14" s="136"/>
      <c r="DC14" s="135"/>
      <c r="DD14" s="135"/>
      <c r="DE14" s="136"/>
      <c r="DF14" s="135"/>
      <c r="DG14" s="135"/>
      <c r="DH14" s="136"/>
      <c r="DI14" s="135"/>
      <c r="DJ14" s="135"/>
      <c r="DK14" s="136"/>
      <c r="DL14" s="135"/>
      <c r="DM14" s="135"/>
      <c r="DN14" s="136"/>
      <c r="DO14" s="135"/>
      <c r="DP14" s="135"/>
      <c r="DQ14" s="136"/>
      <c r="DR14" s="135"/>
      <c r="DS14" s="135"/>
      <c r="DT14" s="136"/>
      <c r="DU14" s="135"/>
      <c r="DV14" s="135"/>
      <c r="DW14" s="136"/>
      <c r="DX14" s="135"/>
      <c r="DY14" s="135"/>
      <c r="DZ14" s="136"/>
      <c r="EA14" s="135"/>
      <c r="EB14" s="135"/>
      <c r="EC14" s="136"/>
      <c r="ED14" s="135"/>
      <c r="EE14" s="135"/>
      <c r="EF14" s="136"/>
      <c r="EG14" s="135"/>
      <c r="EH14" s="135"/>
      <c r="EI14" s="136"/>
      <c r="EJ14" s="135"/>
      <c r="EK14" s="135"/>
      <c r="EL14" s="136"/>
      <c r="EM14" s="135"/>
      <c r="EN14" s="135"/>
      <c r="EO14" s="136"/>
    </row>
    <row r="15" spans="2:145" ht="11.25" customHeight="1" x14ac:dyDescent="0.2">
      <c r="B15" s="79" t="s">
        <v>962</v>
      </c>
      <c r="C15" s="125">
        <f>IF(('Coopa del Mondo 2014'!F20=""), "",'Coopa del Mondo 2014'!F20)</f>
        <v>1</v>
      </c>
      <c r="D15" s="125">
        <f>IF(('Coopa del Mondo 2014'!G20=""), "",'Coopa del Mondo 2014'!G20)</f>
        <v>2</v>
      </c>
      <c r="E15" s="86" t="s">
        <v>2240</v>
      </c>
      <c r="G15">
        <f>IF(ISBLANK('Coopa del Mondo 2014'!F20),0,1)</f>
        <v>1</v>
      </c>
      <c r="H15" s="132">
        <v>1</v>
      </c>
      <c r="I15" s="132">
        <v>1</v>
      </c>
      <c r="J15" s="126">
        <f t="shared" si="0"/>
        <v>0</v>
      </c>
      <c r="K15" s="132">
        <v>0</v>
      </c>
      <c r="L15" s="132">
        <v>2</v>
      </c>
      <c r="M15" s="126">
        <f t="shared" si="1"/>
        <v>1</v>
      </c>
      <c r="N15" s="132">
        <v>1</v>
      </c>
      <c r="O15" s="132">
        <v>0</v>
      </c>
      <c r="P15" s="126">
        <f t="shared" si="2"/>
        <v>0</v>
      </c>
      <c r="Q15" s="132">
        <v>3</v>
      </c>
      <c r="R15" s="132">
        <v>0</v>
      </c>
      <c r="S15" s="126">
        <f t="shared" si="3"/>
        <v>0</v>
      </c>
      <c r="T15" s="132">
        <v>1</v>
      </c>
      <c r="U15" s="132">
        <v>1</v>
      </c>
      <c r="V15" s="126">
        <f>IF($G15=1,(IF(AND($C15=$T15,$D15=$U15),3,(IF(AND($C15&gt;$D15,$T15&gt;$U15),1,(IF(AND($D15&gt;$C15,$U15&gt;$T15),1,(IF(AND($C15=$D15,$T15=$U15),1,0)))))))),"")</f>
        <v>0</v>
      </c>
      <c r="W15" s="135"/>
      <c r="X15" s="135"/>
      <c r="Y15" s="136"/>
      <c r="Z15" s="135"/>
      <c r="AA15" s="135"/>
      <c r="AB15" s="136"/>
      <c r="AC15" s="135"/>
      <c r="AD15" s="135"/>
      <c r="AE15" s="136"/>
      <c r="AF15" s="135"/>
      <c r="AG15" s="135"/>
      <c r="AH15" s="136"/>
      <c r="AI15" s="135"/>
      <c r="AJ15" s="135"/>
      <c r="AK15" s="136"/>
      <c r="AL15" s="135"/>
      <c r="AM15" s="135"/>
      <c r="AN15" s="136"/>
      <c r="AO15" s="135"/>
      <c r="AP15" s="135"/>
      <c r="AQ15" s="136"/>
      <c r="AR15" s="135"/>
      <c r="AS15" s="135"/>
      <c r="AT15" s="136"/>
      <c r="AU15" s="135"/>
      <c r="AV15" s="135"/>
      <c r="AW15" s="136"/>
      <c r="AX15" s="135"/>
      <c r="AY15" s="135"/>
      <c r="AZ15" s="136"/>
      <c r="BA15" s="135"/>
      <c r="BB15" s="135"/>
      <c r="BC15" s="136"/>
      <c r="BD15" s="135"/>
      <c r="BE15" s="135"/>
      <c r="BF15" s="136"/>
      <c r="BG15" s="135"/>
      <c r="BH15" s="135"/>
      <c r="BI15" s="136"/>
      <c r="BJ15" s="135"/>
      <c r="BK15" s="135"/>
      <c r="BL15" s="136"/>
      <c r="BM15" s="135"/>
      <c r="BN15" s="135"/>
      <c r="BO15" s="136"/>
      <c r="BP15" s="135"/>
      <c r="BQ15" s="135"/>
      <c r="BR15" s="136"/>
      <c r="BS15" s="135"/>
      <c r="BT15" s="135"/>
      <c r="BU15" s="136"/>
      <c r="BV15" s="135"/>
      <c r="BW15" s="135"/>
      <c r="BX15" s="136"/>
      <c r="BY15" s="135"/>
      <c r="BZ15" s="135"/>
      <c r="CA15" s="136"/>
      <c r="CB15" s="135"/>
      <c r="CC15" s="135"/>
      <c r="CD15" s="136"/>
      <c r="CE15" s="135"/>
      <c r="CF15" s="135"/>
      <c r="CG15" s="136"/>
      <c r="CH15" s="135"/>
      <c r="CI15" s="135"/>
      <c r="CJ15" s="136"/>
      <c r="CK15" s="135"/>
      <c r="CL15" s="135"/>
      <c r="CM15" s="136"/>
      <c r="CN15" s="135"/>
      <c r="CO15" s="135"/>
      <c r="CP15" s="136"/>
      <c r="CQ15" s="135"/>
      <c r="CR15" s="135"/>
      <c r="CS15" s="136"/>
      <c r="CT15" s="135"/>
      <c r="CU15" s="135"/>
      <c r="CV15" s="136"/>
      <c r="CW15" s="135"/>
      <c r="CX15" s="135"/>
      <c r="CY15" s="136"/>
      <c r="CZ15" s="135"/>
      <c r="DA15" s="135"/>
      <c r="DB15" s="136"/>
      <c r="DC15" s="135"/>
      <c r="DD15" s="135"/>
      <c r="DE15" s="136"/>
      <c r="DF15" s="135"/>
      <c r="DG15" s="135"/>
      <c r="DH15" s="136"/>
      <c r="DI15" s="135"/>
      <c r="DJ15" s="135"/>
      <c r="DK15" s="136"/>
      <c r="DL15" s="135"/>
      <c r="DM15" s="135"/>
      <c r="DN15" s="136"/>
      <c r="DO15" s="135"/>
      <c r="DP15" s="135"/>
      <c r="DQ15" s="136"/>
      <c r="DR15" s="135"/>
      <c r="DS15" s="135"/>
      <c r="DT15" s="136"/>
      <c r="DU15" s="135"/>
      <c r="DV15" s="135"/>
      <c r="DW15" s="136"/>
      <c r="DX15" s="135"/>
      <c r="DY15" s="135"/>
      <c r="DZ15" s="136"/>
      <c r="EA15" s="135"/>
      <c r="EB15" s="135"/>
      <c r="EC15" s="136"/>
      <c r="ED15" s="135"/>
      <c r="EE15" s="135"/>
      <c r="EF15" s="136"/>
      <c r="EG15" s="135"/>
      <c r="EH15" s="135"/>
      <c r="EI15" s="136"/>
      <c r="EJ15" s="135"/>
      <c r="EK15" s="135"/>
      <c r="EL15" s="136"/>
      <c r="EM15" s="135"/>
      <c r="EN15" s="135"/>
      <c r="EO15" s="136"/>
    </row>
    <row r="16" spans="2:145" ht="11.25" customHeight="1" x14ac:dyDescent="0.2">
      <c r="B16" s="79" t="s">
        <v>2424</v>
      </c>
      <c r="C16" s="125" t="str">
        <f>IF(('Coopa del Mondo 2014'!F21=""), "",'Coopa del Mondo 2014'!F21)</f>
        <v/>
      </c>
      <c r="D16" s="125" t="str">
        <f>IF(('Coopa del Mondo 2014'!G21=""), "",'Coopa del Mondo 2014'!G21)</f>
        <v/>
      </c>
      <c r="E16" s="86" t="s">
        <v>960</v>
      </c>
      <c r="G16">
        <f>IF(ISBLANK('Coopa del Mondo 2014'!F21),0,1)</f>
        <v>0</v>
      </c>
      <c r="H16" s="132">
        <v>3</v>
      </c>
      <c r="I16" s="132">
        <v>1</v>
      </c>
      <c r="J16" s="126" t="str">
        <f t="shared" si="0"/>
        <v/>
      </c>
      <c r="K16" s="132">
        <v>3</v>
      </c>
      <c r="L16" s="132">
        <v>1</v>
      </c>
      <c r="M16" s="126" t="str">
        <f t="shared" si="1"/>
        <v/>
      </c>
      <c r="N16" s="132">
        <v>1</v>
      </c>
      <c r="O16" s="132">
        <v>1</v>
      </c>
      <c r="P16" s="126" t="str">
        <f t="shared" si="2"/>
        <v/>
      </c>
      <c r="Q16" s="132">
        <v>1</v>
      </c>
      <c r="R16" s="132">
        <v>1</v>
      </c>
      <c r="S16" s="126" t="str">
        <f t="shared" si="3"/>
        <v/>
      </c>
      <c r="T16" s="132">
        <v>2</v>
      </c>
      <c r="U16" s="132">
        <v>0</v>
      </c>
      <c r="V16" s="126" t="str">
        <f>IF($G16=1,(IF(AND($C16=$T16,$D16=$U16),3,(IF(AND($C16&gt;$D16,$T16&gt;$U16),1,(IF(AND($D16&gt;$C16,$U16&gt;$T16),1,(IF(AND($C16=$D16,$T16=$U16),1,0)))))))),"")</f>
        <v/>
      </c>
      <c r="W16" s="135"/>
      <c r="X16" s="135"/>
      <c r="Y16" s="136"/>
      <c r="Z16" s="135"/>
      <c r="AA16" s="135"/>
      <c r="AB16" s="136"/>
      <c r="AC16" s="135"/>
      <c r="AD16" s="135"/>
      <c r="AE16" s="136"/>
      <c r="AF16" s="135"/>
      <c r="AG16" s="135"/>
      <c r="AH16" s="136"/>
      <c r="AI16" s="135"/>
      <c r="AJ16" s="135"/>
      <c r="AK16" s="136"/>
      <c r="AL16" s="135"/>
      <c r="AM16" s="135"/>
      <c r="AN16" s="136"/>
      <c r="AO16" s="135"/>
      <c r="AP16" s="135"/>
      <c r="AQ16" s="136"/>
      <c r="AR16" s="135"/>
      <c r="AS16" s="135"/>
      <c r="AT16" s="136"/>
      <c r="AU16" s="135"/>
      <c r="AV16" s="135"/>
      <c r="AW16" s="136"/>
      <c r="AX16" s="135"/>
      <c r="AY16" s="135"/>
      <c r="AZ16" s="136"/>
      <c r="BA16" s="135"/>
      <c r="BB16" s="135"/>
      <c r="BC16" s="136"/>
      <c r="BD16" s="135"/>
      <c r="BE16" s="135"/>
      <c r="BF16" s="136"/>
      <c r="BG16" s="135"/>
      <c r="BH16" s="135"/>
      <c r="BI16" s="136"/>
      <c r="BJ16" s="135"/>
      <c r="BK16" s="135"/>
      <c r="BL16" s="136"/>
      <c r="BM16" s="135"/>
      <c r="BN16" s="135"/>
      <c r="BO16" s="136"/>
      <c r="BP16" s="135"/>
      <c r="BQ16" s="135"/>
      <c r="BR16" s="136"/>
      <c r="BS16" s="135"/>
      <c r="BT16" s="135"/>
      <c r="BU16" s="136"/>
      <c r="BV16" s="135"/>
      <c r="BW16" s="135"/>
      <c r="BX16" s="136"/>
      <c r="BY16" s="135"/>
      <c r="BZ16" s="135"/>
      <c r="CA16" s="136"/>
      <c r="CB16" s="135"/>
      <c r="CC16" s="135"/>
      <c r="CD16" s="136"/>
      <c r="CE16" s="135"/>
      <c r="CF16" s="135"/>
      <c r="CG16" s="136"/>
      <c r="CH16" s="135"/>
      <c r="CI16" s="135"/>
      <c r="CJ16" s="136"/>
      <c r="CK16" s="135"/>
      <c r="CL16" s="135"/>
      <c r="CM16" s="136"/>
      <c r="CN16" s="135"/>
      <c r="CO16" s="135"/>
      <c r="CP16" s="136"/>
      <c r="CQ16" s="135"/>
      <c r="CR16" s="135"/>
      <c r="CS16" s="136"/>
      <c r="CT16" s="135"/>
      <c r="CU16" s="135"/>
      <c r="CV16" s="136"/>
      <c r="CW16" s="135"/>
      <c r="CX16" s="135"/>
      <c r="CY16" s="136"/>
      <c r="CZ16" s="135"/>
      <c r="DA16" s="135"/>
      <c r="DB16" s="136"/>
      <c r="DC16" s="135"/>
      <c r="DD16" s="135"/>
      <c r="DE16" s="136"/>
      <c r="DF16" s="135"/>
      <c r="DG16" s="135"/>
      <c r="DH16" s="136"/>
      <c r="DI16" s="135"/>
      <c r="DJ16" s="135"/>
      <c r="DK16" s="136"/>
      <c r="DL16" s="135"/>
      <c r="DM16" s="135"/>
      <c r="DN16" s="136"/>
      <c r="DO16" s="135"/>
      <c r="DP16" s="135"/>
      <c r="DQ16" s="136"/>
      <c r="DR16" s="135"/>
      <c r="DS16" s="135"/>
      <c r="DT16" s="136"/>
      <c r="DU16" s="135"/>
      <c r="DV16" s="135"/>
      <c r="DW16" s="136"/>
      <c r="DX16" s="135"/>
      <c r="DY16" s="135"/>
      <c r="DZ16" s="136"/>
      <c r="EA16" s="135"/>
      <c r="EB16" s="135"/>
      <c r="EC16" s="136"/>
      <c r="ED16" s="135"/>
      <c r="EE16" s="135"/>
      <c r="EF16" s="136"/>
      <c r="EG16" s="135"/>
      <c r="EH16" s="135"/>
      <c r="EI16" s="136"/>
      <c r="EJ16" s="135"/>
      <c r="EK16" s="135"/>
      <c r="EL16" s="136"/>
      <c r="EM16" s="135"/>
      <c r="EN16" s="135"/>
      <c r="EO16" s="136"/>
    </row>
    <row r="17" spans="2:145" ht="11.25" customHeight="1" x14ac:dyDescent="0.2">
      <c r="B17" s="79" t="s">
        <v>1472</v>
      </c>
      <c r="C17" s="125" t="str">
        <f>IF(('Coopa del Mondo 2014'!F22=""), "",'Coopa del Mondo 2014'!F22)</f>
        <v/>
      </c>
      <c r="D17" s="125" t="str">
        <f>IF(('Coopa del Mondo 2014'!G22=""), "",'Coopa del Mondo 2014'!G22)</f>
        <v/>
      </c>
      <c r="E17" s="86" t="s">
        <v>1467</v>
      </c>
      <c r="G17">
        <f>IF(ISBLANK('Coopa del Mondo 2014'!F22),0,1)</f>
        <v>0</v>
      </c>
      <c r="H17" s="132">
        <v>3</v>
      </c>
      <c r="I17" s="132">
        <v>1</v>
      </c>
      <c r="J17" s="126" t="str">
        <f t="shared" si="0"/>
        <v/>
      </c>
      <c r="K17" s="132">
        <v>1</v>
      </c>
      <c r="L17" s="132">
        <v>1</v>
      </c>
      <c r="M17" s="126" t="str">
        <f t="shared" si="1"/>
        <v/>
      </c>
      <c r="N17" s="132">
        <v>2</v>
      </c>
      <c r="O17" s="132">
        <v>0</v>
      </c>
      <c r="P17" s="126" t="str">
        <f t="shared" si="2"/>
        <v/>
      </c>
      <c r="Q17" s="132">
        <v>3</v>
      </c>
      <c r="R17" s="132">
        <v>1</v>
      </c>
      <c r="S17" s="126" t="str">
        <f t="shared" si="3"/>
        <v/>
      </c>
      <c r="T17" s="132">
        <v>2</v>
      </c>
      <c r="U17" s="132">
        <v>0</v>
      </c>
      <c r="V17" s="126" t="str">
        <f>IF($G17=1,(IF(AND($C17=$T17,$D17=$U17),3,(IF(AND($C17&gt;$D17,$T17&gt;$U17),1,(IF(AND($D17&gt;$C17,$U17&gt;$T17),1,(IF(AND($C17=$D17,$T17=$U17),1,0)))))))),"")</f>
        <v/>
      </c>
      <c r="W17" s="135"/>
      <c r="X17" s="135"/>
      <c r="Y17" s="136"/>
      <c r="Z17" s="135"/>
      <c r="AA17" s="135"/>
      <c r="AB17" s="136"/>
      <c r="AC17" s="135"/>
      <c r="AD17" s="135"/>
      <c r="AE17" s="136"/>
      <c r="AF17" s="135"/>
      <c r="AG17" s="135"/>
      <c r="AH17" s="136"/>
      <c r="AI17" s="135"/>
      <c r="AJ17" s="135"/>
      <c r="AK17" s="136"/>
      <c r="AL17" s="135"/>
      <c r="AM17" s="135"/>
      <c r="AN17" s="136"/>
      <c r="AO17" s="135"/>
      <c r="AP17" s="135"/>
      <c r="AQ17" s="136"/>
      <c r="AR17" s="135"/>
      <c r="AS17" s="135"/>
      <c r="AT17" s="136"/>
      <c r="AU17" s="135"/>
      <c r="AV17" s="135"/>
      <c r="AW17" s="136"/>
      <c r="AX17" s="135"/>
      <c r="AY17" s="135"/>
      <c r="AZ17" s="136"/>
      <c r="BA17" s="135"/>
      <c r="BB17" s="135"/>
      <c r="BC17" s="136"/>
      <c r="BD17" s="135"/>
      <c r="BE17" s="135"/>
      <c r="BF17" s="136"/>
      <c r="BG17" s="135"/>
      <c r="BH17" s="135"/>
      <c r="BI17" s="136"/>
      <c r="BJ17" s="135"/>
      <c r="BK17" s="135"/>
      <c r="BL17" s="136"/>
      <c r="BM17" s="135"/>
      <c r="BN17" s="135"/>
      <c r="BO17" s="136"/>
      <c r="BP17" s="135"/>
      <c r="BQ17" s="135"/>
      <c r="BR17" s="136"/>
      <c r="BS17" s="135"/>
      <c r="BT17" s="135"/>
      <c r="BU17" s="136"/>
      <c r="BV17" s="135"/>
      <c r="BW17" s="135"/>
      <c r="BX17" s="136"/>
      <c r="BY17" s="135"/>
      <c r="BZ17" s="135"/>
      <c r="CA17" s="136"/>
      <c r="CB17" s="135"/>
      <c r="CC17" s="135"/>
      <c r="CD17" s="136"/>
      <c r="CE17" s="135"/>
      <c r="CF17" s="135"/>
      <c r="CG17" s="136"/>
      <c r="CH17" s="135"/>
      <c r="CI17" s="135"/>
      <c r="CJ17" s="136"/>
      <c r="CK17" s="135"/>
      <c r="CL17" s="135"/>
      <c r="CM17" s="136"/>
      <c r="CN17" s="135"/>
      <c r="CO17" s="135"/>
      <c r="CP17" s="136"/>
      <c r="CQ17" s="135"/>
      <c r="CR17" s="135"/>
      <c r="CS17" s="136"/>
      <c r="CT17" s="135"/>
      <c r="CU17" s="135"/>
      <c r="CV17" s="136"/>
      <c r="CW17" s="135"/>
      <c r="CX17" s="135"/>
      <c r="CY17" s="136"/>
      <c r="CZ17" s="135"/>
      <c r="DA17" s="135"/>
      <c r="DB17" s="136"/>
      <c r="DC17" s="135"/>
      <c r="DD17" s="135"/>
      <c r="DE17" s="136"/>
      <c r="DF17" s="135"/>
      <c r="DG17" s="135"/>
      <c r="DH17" s="136"/>
      <c r="DI17" s="135"/>
      <c r="DJ17" s="135"/>
      <c r="DK17" s="136"/>
      <c r="DL17" s="135"/>
      <c r="DM17" s="135"/>
      <c r="DN17" s="136"/>
      <c r="DO17" s="135"/>
      <c r="DP17" s="135"/>
      <c r="DQ17" s="136"/>
      <c r="DR17" s="135"/>
      <c r="DS17" s="135"/>
      <c r="DT17" s="136"/>
      <c r="DU17" s="135"/>
      <c r="DV17" s="135"/>
      <c r="DW17" s="136"/>
      <c r="DX17" s="135"/>
      <c r="DY17" s="135"/>
      <c r="DZ17" s="136"/>
      <c r="EA17" s="135"/>
      <c r="EB17" s="135"/>
      <c r="EC17" s="136"/>
      <c r="ED17" s="135"/>
      <c r="EE17" s="135"/>
      <c r="EF17" s="136"/>
      <c r="EG17" s="135"/>
      <c r="EH17" s="135"/>
      <c r="EI17" s="136"/>
      <c r="EJ17" s="135"/>
      <c r="EK17" s="135"/>
      <c r="EL17" s="136"/>
      <c r="EM17" s="135"/>
      <c r="EN17" s="135"/>
      <c r="EO17" s="136"/>
    </row>
    <row r="18" spans="2:145" ht="11.25" customHeight="1" x14ac:dyDescent="0.2">
      <c r="B18" s="79" t="s">
        <v>2157</v>
      </c>
      <c r="C18" s="125" t="str">
        <f>IF(('Coopa del Mondo 2014'!F23=""), "",'Coopa del Mondo 2014'!F23)</f>
        <v/>
      </c>
      <c r="D18" s="125" t="str">
        <f>IF(('Coopa del Mondo 2014'!G23=""), "",'Coopa del Mondo 2014'!G23)</f>
        <v/>
      </c>
      <c r="E18" s="86" t="s">
        <v>1356</v>
      </c>
      <c r="G18">
        <f>IF(ISBLANK('Coopa del Mondo 2014'!F23),0,1)</f>
        <v>0</v>
      </c>
      <c r="H18" s="132">
        <v>2</v>
      </c>
      <c r="I18" s="132">
        <v>0</v>
      </c>
      <c r="J18" s="126" t="str">
        <f t="shared" si="0"/>
        <v/>
      </c>
      <c r="K18" s="132">
        <v>2</v>
      </c>
      <c r="L18" s="132">
        <v>0</v>
      </c>
      <c r="M18" s="126" t="str">
        <f t="shared" si="1"/>
        <v/>
      </c>
      <c r="N18" s="132">
        <v>1</v>
      </c>
      <c r="O18" s="132">
        <v>1</v>
      </c>
      <c r="P18" s="126" t="str">
        <f t="shared" si="2"/>
        <v/>
      </c>
      <c r="Q18" s="132">
        <v>1</v>
      </c>
      <c r="R18" s="132">
        <v>1</v>
      </c>
      <c r="S18" s="126" t="str">
        <f t="shared" si="3"/>
        <v/>
      </c>
      <c r="T18" s="132">
        <v>1</v>
      </c>
      <c r="U18" s="132">
        <v>0</v>
      </c>
      <c r="V18" s="126" t="str">
        <f>IF($G18=1,(IF(AND($C18=$T18,$D18=$U18),3,(IF(AND($C18&gt;$D18,$T18&gt;$U18),1,(IF(AND($D18&gt;$C18,$U18&gt;$T18),1,(IF(AND($C18=$D18,$T18=$U18),1,0)))))))),"")</f>
        <v/>
      </c>
      <c r="W18" s="135"/>
      <c r="X18" s="135"/>
      <c r="Y18" s="136"/>
      <c r="Z18" s="135"/>
      <c r="AA18" s="135"/>
      <c r="AB18" s="136"/>
      <c r="AC18" s="135"/>
      <c r="AD18" s="135"/>
      <c r="AE18" s="136"/>
      <c r="AF18" s="135"/>
      <c r="AG18" s="135"/>
      <c r="AH18" s="136"/>
      <c r="AI18" s="135"/>
      <c r="AJ18" s="135"/>
      <c r="AK18" s="136"/>
      <c r="AL18" s="135"/>
      <c r="AM18" s="135"/>
      <c r="AN18" s="136"/>
      <c r="AO18" s="135"/>
      <c r="AP18" s="135"/>
      <c r="AQ18" s="136"/>
      <c r="AR18" s="135"/>
      <c r="AS18" s="135"/>
      <c r="AT18" s="136"/>
      <c r="AU18" s="135"/>
      <c r="AV18" s="135"/>
      <c r="AW18" s="136"/>
      <c r="AX18" s="135"/>
      <c r="AY18" s="135"/>
      <c r="AZ18" s="136"/>
      <c r="BA18" s="135"/>
      <c r="BB18" s="135"/>
      <c r="BC18" s="136"/>
      <c r="BD18" s="135"/>
      <c r="BE18" s="135"/>
      <c r="BF18" s="136"/>
      <c r="BG18" s="135"/>
      <c r="BH18" s="135"/>
      <c r="BI18" s="136"/>
      <c r="BJ18" s="135"/>
      <c r="BK18" s="135"/>
      <c r="BL18" s="136"/>
      <c r="BM18" s="135"/>
      <c r="BN18" s="135"/>
      <c r="BO18" s="136"/>
      <c r="BP18" s="135"/>
      <c r="BQ18" s="135"/>
      <c r="BR18" s="136"/>
      <c r="BS18" s="135"/>
      <c r="BT18" s="135"/>
      <c r="BU18" s="136"/>
      <c r="BV18" s="135"/>
      <c r="BW18" s="135"/>
      <c r="BX18" s="136"/>
      <c r="BY18" s="135"/>
      <c r="BZ18" s="135"/>
      <c r="CA18" s="136"/>
      <c r="CB18" s="135"/>
      <c r="CC18" s="135"/>
      <c r="CD18" s="136"/>
      <c r="CE18" s="135"/>
      <c r="CF18" s="135"/>
      <c r="CG18" s="136"/>
      <c r="CH18" s="135"/>
      <c r="CI18" s="135"/>
      <c r="CJ18" s="136"/>
      <c r="CK18" s="135"/>
      <c r="CL18" s="135"/>
      <c r="CM18" s="136"/>
      <c r="CN18" s="135"/>
      <c r="CO18" s="135"/>
      <c r="CP18" s="136"/>
      <c r="CQ18" s="135"/>
      <c r="CR18" s="135"/>
      <c r="CS18" s="136"/>
      <c r="CT18" s="135"/>
      <c r="CU18" s="135"/>
      <c r="CV18" s="136"/>
      <c r="CW18" s="135"/>
      <c r="CX18" s="135"/>
      <c r="CY18" s="136"/>
      <c r="CZ18" s="135"/>
      <c r="DA18" s="135"/>
      <c r="DB18" s="136"/>
      <c r="DC18" s="135"/>
      <c r="DD18" s="135"/>
      <c r="DE18" s="136"/>
      <c r="DF18" s="135"/>
      <c r="DG18" s="135"/>
      <c r="DH18" s="136"/>
      <c r="DI18" s="135"/>
      <c r="DJ18" s="135"/>
      <c r="DK18" s="136"/>
      <c r="DL18" s="135"/>
      <c r="DM18" s="135"/>
      <c r="DN18" s="136"/>
      <c r="DO18" s="135"/>
      <c r="DP18" s="135"/>
      <c r="DQ18" s="136"/>
      <c r="DR18" s="135"/>
      <c r="DS18" s="135"/>
      <c r="DT18" s="136"/>
      <c r="DU18" s="135"/>
      <c r="DV18" s="135"/>
      <c r="DW18" s="136"/>
      <c r="DX18" s="135"/>
      <c r="DY18" s="135"/>
      <c r="DZ18" s="136"/>
      <c r="EA18" s="135"/>
      <c r="EB18" s="135"/>
      <c r="EC18" s="136"/>
      <c r="ED18" s="135"/>
      <c r="EE18" s="135"/>
      <c r="EF18" s="136"/>
      <c r="EG18" s="135"/>
      <c r="EH18" s="135"/>
      <c r="EI18" s="136"/>
      <c r="EJ18" s="135"/>
      <c r="EK18" s="135"/>
      <c r="EL18" s="136"/>
      <c r="EM18" s="135"/>
      <c r="EN18" s="135"/>
      <c r="EO18" s="136"/>
    </row>
    <row r="19" spans="2:145" ht="11.25" customHeight="1" x14ac:dyDescent="0.2">
      <c r="B19" s="79" t="s">
        <v>961</v>
      </c>
      <c r="C19" s="125" t="str">
        <f>IF(('Coopa del Mondo 2014'!F24=""), "",'Coopa del Mondo 2014'!F24)</f>
        <v/>
      </c>
      <c r="D19" s="125" t="str">
        <f>IF(('Coopa del Mondo 2014'!G24=""), "",'Coopa del Mondo 2014'!G24)</f>
        <v/>
      </c>
      <c r="E19" s="86" t="s">
        <v>2303</v>
      </c>
      <c r="G19">
        <f>IF(ISBLANK('Coopa del Mondo 2014'!F24),0,1)</f>
        <v>0</v>
      </c>
      <c r="H19" s="132">
        <v>1</v>
      </c>
      <c r="I19" s="132">
        <v>5</v>
      </c>
      <c r="J19" s="126" t="str">
        <f t="shared" si="0"/>
        <v/>
      </c>
      <c r="K19" s="132">
        <v>0</v>
      </c>
      <c r="L19" s="132">
        <v>0</v>
      </c>
      <c r="M19" s="126" t="str">
        <f t="shared" si="1"/>
        <v/>
      </c>
      <c r="N19" s="132">
        <v>2</v>
      </c>
      <c r="O19" s="132">
        <v>1</v>
      </c>
      <c r="P19" s="126" t="str">
        <f t="shared" si="2"/>
        <v/>
      </c>
      <c r="Q19" s="132">
        <v>0</v>
      </c>
      <c r="R19" s="132">
        <v>4</v>
      </c>
      <c r="S19" s="126" t="str">
        <f t="shared" si="3"/>
        <v/>
      </c>
      <c r="T19" s="132">
        <v>1</v>
      </c>
      <c r="U19" s="132">
        <v>2</v>
      </c>
      <c r="V19" s="126" t="str">
        <f>IF($G19=1,(IF(AND($C19=$T19,$D19=$U19),3,(IF(AND($C19&gt;$D19,$T19&gt;$U19),1,(IF(AND($D19&gt;$C19,$U19&gt;$T19),1,(IF(AND($C19=$D19,$T19=$U19),1,0)))))))),"")</f>
        <v/>
      </c>
      <c r="W19" s="135"/>
      <c r="X19" s="135"/>
      <c r="Y19" s="136"/>
      <c r="Z19" s="135"/>
      <c r="AA19" s="135"/>
      <c r="AB19" s="136"/>
      <c r="AC19" s="135"/>
      <c r="AD19" s="135"/>
      <c r="AE19" s="136"/>
      <c r="AF19" s="135"/>
      <c r="AG19" s="135"/>
      <c r="AH19" s="136"/>
      <c r="AI19" s="135"/>
      <c r="AJ19" s="135"/>
      <c r="AK19" s="136"/>
      <c r="AL19" s="135"/>
      <c r="AM19" s="135"/>
      <c r="AN19" s="136"/>
      <c r="AO19" s="135"/>
      <c r="AP19" s="135"/>
      <c r="AQ19" s="136"/>
      <c r="AR19" s="135"/>
      <c r="AS19" s="135"/>
      <c r="AT19" s="136"/>
      <c r="AU19" s="135"/>
      <c r="AV19" s="135"/>
      <c r="AW19" s="136"/>
      <c r="AX19" s="135"/>
      <c r="AY19" s="135"/>
      <c r="AZ19" s="136"/>
      <c r="BA19" s="135"/>
      <c r="BB19" s="135"/>
      <c r="BC19" s="136"/>
      <c r="BD19" s="135"/>
      <c r="BE19" s="135"/>
      <c r="BF19" s="136"/>
      <c r="BG19" s="135"/>
      <c r="BH19" s="135"/>
      <c r="BI19" s="136"/>
      <c r="BJ19" s="135"/>
      <c r="BK19" s="135"/>
      <c r="BL19" s="136"/>
      <c r="BM19" s="135"/>
      <c r="BN19" s="135"/>
      <c r="BO19" s="136"/>
      <c r="BP19" s="135"/>
      <c r="BQ19" s="135"/>
      <c r="BR19" s="136"/>
      <c r="BS19" s="135"/>
      <c r="BT19" s="135"/>
      <c r="BU19" s="136"/>
      <c r="BV19" s="135"/>
      <c r="BW19" s="135"/>
      <c r="BX19" s="136"/>
      <c r="BY19" s="135"/>
      <c r="BZ19" s="135"/>
      <c r="CA19" s="136"/>
      <c r="CB19" s="135"/>
      <c r="CC19" s="135"/>
      <c r="CD19" s="136"/>
      <c r="CE19" s="135"/>
      <c r="CF19" s="135"/>
      <c r="CG19" s="136"/>
      <c r="CH19" s="135"/>
      <c r="CI19" s="135"/>
      <c r="CJ19" s="136"/>
      <c r="CK19" s="135"/>
      <c r="CL19" s="135"/>
      <c r="CM19" s="136"/>
      <c r="CN19" s="135"/>
      <c r="CO19" s="135"/>
      <c r="CP19" s="136"/>
      <c r="CQ19" s="135"/>
      <c r="CR19" s="135"/>
      <c r="CS19" s="136"/>
      <c r="CT19" s="135"/>
      <c r="CU19" s="135"/>
      <c r="CV19" s="136"/>
      <c r="CW19" s="135"/>
      <c r="CX19" s="135"/>
      <c r="CY19" s="136"/>
      <c r="CZ19" s="135"/>
      <c r="DA19" s="135"/>
      <c r="DB19" s="136"/>
      <c r="DC19" s="135"/>
      <c r="DD19" s="135"/>
      <c r="DE19" s="136"/>
      <c r="DF19" s="135"/>
      <c r="DG19" s="135"/>
      <c r="DH19" s="136"/>
      <c r="DI19" s="135"/>
      <c r="DJ19" s="135"/>
      <c r="DK19" s="136"/>
      <c r="DL19" s="135"/>
      <c r="DM19" s="135"/>
      <c r="DN19" s="136"/>
      <c r="DO19" s="135"/>
      <c r="DP19" s="135"/>
      <c r="DQ19" s="136"/>
      <c r="DR19" s="135"/>
      <c r="DS19" s="135"/>
      <c r="DT19" s="136"/>
      <c r="DU19" s="135"/>
      <c r="DV19" s="135"/>
      <c r="DW19" s="136"/>
      <c r="DX19" s="135"/>
      <c r="DY19" s="135"/>
      <c r="DZ19" s="136"/>
      <c r="EA19" s="135"/>
      <c r="EB19" s="135"/>
      <c r="EC19" s="136"/>
      <c r="ED19" s="135"/>
      <c r="EE19" s="135"/>
      <c r="EF19" s="136"/>
      <c r="EG19" s="135"/>
      <c r="EH19" s="135"/>
      <c r="EI19" s="136"/>
      <c r="EJ19" s="135"/>
      <c r="EK19" s="135"/>
      <c r="EL19" s="136"/>
      <c r="EM19" s="135"/>
      <c r="EN19" s="135"/>
      <c r="EO19" s="136"/>
    </row>
    <row r="20" spans="2:145" ht="11.25" customHeight="1" x14ac:dyDescent="0.2">
      <c r="B20" s="79" t="s">
        <v>1364</v>
      </c>
      <c r="C20" s="125" t="str">
        <f>IF(('Coopa del Mondo 2014'!F25=""), "",'Coopa del Mondo 2014'!F25)</f>
        <v/>
      </c>
      <c r="D20" s="125" t="str">
        <f>IF(('Coopa del Mondo 2014'!G25=""), "",'Coopa del Mondo 2014'!G25)</f>
        <v/>
      </c>
      <c r="E20" s="86" t="s">
        <v>2071</v>
      </c>
      <c r="G20">
        <f>IF(ISBLANK('Coopa del Mondo 2014'!F25),0,1)</f>
        <v>0</v>
      </c>
      <c r="H20" s="132">
        <v>2</v>
      </c>
      <c r="I20" s="132">
        <v>2</v>
      </c>
      <c r="J20" s="126" t="str">
        <f t="shared" si="0"/>
        <v/>
      </c>
      <c r="K20" s="132">
        <v>1</v>
      </c>
      <c r="L20" s="132">
        <v>3</v>
      </c>
      <c r="M20" s="126" t="str">
        <f t="shared" si="1"/>
        <v/>
      </c>
      <c r="N20" s="132">
        <v>2</v>
      </c>
      <c r="O20" s="132">
        <v>1</v>
      </c>
      <c r="P20" s="126" t="str">
        <f t="shared" si="2"/>
        <v/>
      </c>
      <c r="Q20" s="132">
        <v>2</v>
      </c>
      <c r="R20" s="132">
        <v>2</v>
      </c>
      <c r="S20" s="126" t="str">
        <f t="shared" si="3"/>
        <v/>
      </c>
      <c r="T20" s="132">
        <v>2</v>
      </c>
      <c r="U20" s="132">
        <v>2</v>
      </c>
      <c r="V20" s="126" t="str">
        <f>IF($G20=1,(IF(AND($C20=$T20,$D20=$U20),3,(IF(AND($C20&gt;$D20,$T20&gt;$U20),1,(IF(AND($D20&gt;$C20,$U20&gt;$T20),1,(IF(AND($C20=$D20,$T20=$U20),1,0)))))))),"")</f>
        <v/>
      </c>
      <c r="W20" s="135"/>
      <c r="X20" s="135"/>
      <c r="Y20" s="136"/>
      <c r="Z20" s="135"/>
      <c r="AA20" s="135"/>
      <c r="AB20" s="136"/>
      <c r="AC20" s="135"/>
      <c r="AD20" s="135"/>
      <c r="AE20" s="136"/>
      <c r="AF20" s="135"/>
      <c r="AG20" s="135"/>
      <c r="AH20" s="136"/>
      <c r="AI20" s="135"/>
      <c r="AJ20" s="135"/>
      <c r="AK20" s="136"/>
      <c r="AL20" s="135"/>
      <c r="AM20" s="135"/>
      <c r="AN20" s="136"/>
      <c r="AO20" s="135"/>
      <c r="AP20" s="135"/>
      <c r="AQ20" s="136"/>
      <c r="AR20" s="135"/>
      <c r="AS20" s="135"/>
      <c r="AT20" s="136"/>
      <c r="AU20" s="135"/>
      <c r="AV20" s="135"/>
      <c r="AW20" s="136"/>
      <c r="AX20" s="135"/>
      <c r="AY20" s="135"/>
      <c r="AZ20" s="136"/>
      <c r="BA20" s="135"/>
      <c r="BB20" s="135"/>
      <c r="BC20" s="136"/>
      <c r="BD20" s="135"/>
      <c r="BE20" s="135"/>
      <c r="BF20" s="136"/>
      <c r="BG20" s="135"/>
      <c r="BH20" s="135"/>
      <c r="BI20" s="136"/>
      <c r="BJ20" s="135"/>
      <c r="BK20" s="135"/>
      <c r="BL20" s="136"/>
      <c r="BM20" s="135"/>
      <c r="BN20" s="135"/>
      <c r="BO20" s="136"/>
      <c r="BP20" s="135"/>
      <c r="BQ20" s="135"/>
      <c r="BR20" s="136"/>
      <c r="BS20" s="135"/>
      <c r="BT20" s="135"/>
      <c r="BU20" s="136"/>
      <c r="BV20" s="135"/>
      <c r="BW20" s="135"/>
      <c r="BX20" s="136"/>
      <c r="BY20" s="135"/>
      <c r="BZ20" s="135"/>
      <c r="CA20" s="136"/>
      <c r="CB20" s="135"/>
      <c r="CC20" s="135"/>
      <c r="CD20" s="136"/>
      <c r="CE20" s="135"/>
      <c r="CF20" s="135"/>
      <c r="CG20" s="136"/>
      <c r="CH20" s="135"/>
      <c r="CI20" s="135"/>
      <c r="CJ20" s="136"/>
      <c r="CK20" s="135"/>
      <c r="CL20" s="135"/>
      <c r="CM20" s="136"/>
      <c r="CN20" s="135"/>
      <c r="CO20" s="135"/>
      <c r="CP20" s="136"/>
      <c r="CQ20" s="135"/>
      <c r="CR20" s="135"/>
      <c r="CS20" s="136"/>
      <c r="CT20" s="135"/>
      <c r="CU20" s="135"/>
      <c r="CV20" s="136"/>
      <c r="CW20" s="135"/>
      <c r="CX20" s="135"/>
      <c r="CY20" s="136"/>
      <c r="CZ20" s="135"/>
      <c r="DA20" s="135"/>
      <c r="DB20" s="136"/>
      <c r="DC20" s="135"/>
      <c r="DD20" s="135"/>
      <c r="DE20" s="136"/>
      <c r="DF20" s="135"/>
      <c r="DG20" s="135"/>
      <c r="DH20" s="136"/>
      <c r="DI20" s="135"/>
      <c r="DJ20" s="135"/>
      <c r="DK20" s="136"/>
      <c r="DL20" s="135"/>
      <c r="DM20" s="135"/>
      <c r="DN20" s="136"/>
      <c r="DO20" s="135"/>
      <c r="DP20" s="135"/>
      <c r="DQ20" s="136"/>
      <c r="DR20" s="135"/>
      <c r="DS20" s="135"/>
      <c r="DT20" s="136"/>
      <c r="DU20" s="135"/>
      <c r="DV20" s="135"/>
      <c r="DW20" s="136"/>
      <c r="DX20" s="135"/>
      <c r="DY20" s="135"/>
      <c r="DZ20" s="136"/>
      <c r="EA20" s="135"/>
      <c r="EB20" s="135"/>
      <c r="EC20" s="136"/>
      <c r="ED20" s="135"/>
      <c r="EE20" s="135"/>
      <c r="EF20" s="136"/>
      <c r="EG20" s="135"/>
      <c r="EH20" s="135"/>
      <c r="EI20" s="136"/>
      <c r="EJ20" s="135"/>
      <c r="EK20" s="135"/>
      <c r="EL20" s="136"/>
      <c r="EM20" s="135"/>
      <c r="EN20" s="135"/>
      <c r="EO20" s="136"/>
    </row>
    <row r="21" spans="2:145" ht="11.25" customHeight="1" x14ac:dyDescent="0.2">
      <c r="B21" s="79" t="s">
        <v>1474</v>
      </c>
      <c r="C21" s="125" t="str">
        <f>IF(('Coopa del Mondo 2014'!F26=""), "",'Coopa del Mondo 2014'!F26)</f>
        <v/>
      </c>
      <c r="D21" s="125" t="str">
        <f>IF(('Coopa del Mondo 2014'!G26=""), "",'Coopa del Mondo 2014'!G26)</f>
        <v/>
      </c>
      <c r="E21" s="86" t="s">
        <v>1476</v>
      </c>
      <c r="G21">
        <f>IF(ISBLANK('Coopa del Mondo 2014'!F26),0,1)</f>
        <v>0</v>
      </c>
      <c r="H21" s="132">
        <v>4</v>
      </c>
      <c r="I21" s="132">
        <v>1</v>
      </c>
      <c r="J21" s="126" t="str">
        <f t="shared" si="0"/>
        <v/>
      </c>
      <c r="K21" s="132">
        <v>3</v>
      </c>
      <c r="L21" s="132">
        <v>2</v>
      </c>
      <c r="M21" s="126" t="str">
        <f t="shared" si="1"/>
        <v/>
      </c>
      <c r="N21" s="132">
        <v>2</v>
      </c>
      <c r="O21" s="132">
        <v>0</v>
      </c>
      <c r="P21" s="126" t="str">
        <f t="shared" si="2"/>
        <v/>
      </c>
      <c r="Q21" s="132">
        <v>1</v>
      </c>
      <c r="R21" s="132">
        <v>0</v>
      </c>
      <c r="S21" s="126" t="str">
        <f t="shared" si="3"/>
        <v/>
      </c>
      <c r="T21" s="132">
        <v>1</v>
      </c>
      <c r="U21" s="132">
        <v>0</v>
      </c>
      <c r="V21" s="126" t="str">
        <f>IF($G21=1,(IF(AND($C21=$T21,$D21=$U21),3,(IF(AND($C21&gt;$D21,$T21&gt;$U21),1,(IF(AND($D21&gt;$C21,$U21&gt;$T21),1,(IF(AND($C21=$D21,$T21=$U21),1,0)))))))),"")</f>
        <v/>
      </c>
      <c r="W21" s="135"/>
      <c r="X21" s="135"/>
      <c r="Y21" s="136"/>
      <c r="Z21" s="135"/>
      <c r="AA21" s="135"/>
      <c r="AB21" s="136"/>
      <c r="AC21" s="135"/>
      <c r="AD21" s="135"/>
      <c r="AE21" s="136"/>
      <c r="AF21" s="135"/>
      <c r="AG21" s="135"/>
      <c r="AH21" s="136"/>
      <c r="AI21" s="135"/>
      <c r="AJ21" s="135"/>
      <c r="AK21" s="136"/>
      <c r="AL21" s="135"/>
      <c r="AM21" s="135"/>
      <c r="AN21" s="136"/>
      <c r="AO21" s="135"/>
      <c r="AP21" s="135"/>
      <c r="AQ21" s="136"/>
      <c r="AR21" s="135"/>
      <c r="AS21" s="135"/>
      <c r="AT21" s="136"/>
      <c r="AU21" s="135"/>
      <c r="AV21" s="135"/>
      <c r="AW21" s="136"/>
      <c r="AX21" s="135"/>
      <c r="AY21" s="135"/>
      <c r="AZ21" s="136"/>
      <c r="BA21" s="135"/>
      <c r="BB21" s="135"/>
      <c r="BC21" s="136"/>
      <c r="BD21" s="135"/>
      <c r="BE21" s="135"/>
      <c r="BF21" s="136"/>
      <c r="BG21" s="135"/>
      <c r="BH21" s="135"/>
      <c r="BI21" s="136"/>
      <c r="BJ21" s="135"/>
      <c r="BK21" s="135"/>
      <c r="BL21" s="136"/>
      <c r="BM21" s="135"/>
      <c r="BN21" s="135"/>
      <c r="BO21" s="136"/>
      <c r="BP21" s="135"/>
      <c r="BQ21" s="135"/>
      <c r="BR21" s="136"/>
      <c r="BS21" s="135"/>
      <c r="BT21" s="135"/>
      <c r="BU21" s="136"/>
      <c r="BV21" s="135"/>
      <c r="BW21" s="135"/>
      <c r="BX21" s="136"/>
      <c r="BY21" s="135"/>
      <c r="BZ21" s="135"/>
      <c r="CA21" s="136"/>
      <c r="CB21" s="135"/>
      <c r="CC21" s="135"/>
      <c r="CD21" s="136"/>
      <c r="CE21" s="135"/>
      <c r="CF21" s="135"/>
      <c r="CG21" s="136"/>
      <c r="CH21" s="135"/>
      <c r="CI21" s="135"/>
      <c r="CJ21" s="136"/>
      <c r="CK21" s="135"/>
      <c r="CL21" s="135"/>
      <c r="CM21" s="136"/>
      <c r="CN21" s="135"/>
      <c r="CO21" s="135"/>
      <c r="CP21" s="136"/>
      <c r="CQ21" s="135"/>
      <c r="CR21" s="135"/>
      <c r="CS21" s="136"/>
      <c r="CT21" s="135"/>
      <c r="CU21" s="135"/>
      <c r="CV21" s="136"/>
      <c r="CW21" s="135"/>
      <c r="CX21" s="135"/>
      <c r="CY21" s="136"/>
      <c r="CZ21" s="135"/>
      <c r="DA21" s="135"/>
      <c r="DB21" s="136"/>
      <c r="DC21" s="135"/>
      <c r="DD21" s="135"/>
      <c r="DE21" s="136"/>
      <c r="DF21" s="135"/>
      <c r="DG21" s="135"/>
      <c r="DH21" s="136"/>
      <c r="DI21" s="135"/>
      <c r="DJ21" s="135"/>
      <c r="DK21" s="136"/>
      <c r="DL21" s="135"/>
      <c r="DM21" s="135"/>
      <c r="DN21" s="136"/>
      <c r="DO21" s="135"/>
      <c r="DP21" s="135"/>
      <c r="DQ21" s="136"/>
      <c r="DR21" s="135"/>
      <c r="DS21" s="135"/>
      <c r="DT21" s="136"/>
      <c r="DU21" s="135"/>
      <c r="DV21" s="135"/>
      <c r="DW21" s="136"/>
      <c r="DX21" s="135"/>
      <c r="DY21" s="135"/>
      <c r="DZ21" s="136"/>
      <c r="EA21" s="135"/>
      <c r="EB21" s="135"/>
      <c r="EC21" s="136"/>
      <c r="ED21" s="135"/>
      <c r="EE21" s="135"/>
      <c r="EF21" s="136"/>
      <c r="EG21" s="135"/>
      <c r="EH21" s="135"/>
      <c r="EI21" s="136"/>
      <c r="EJ21" s="135"/>
      <c r="EK21" s="135"/>
      <c r="EL21" s="136"/>
      <c r="EM21" s="135"/>
      <c r="EN21" s="135"/>
      <c r="EO21" s="136"/>
    </row>
    <row r="22" spans="2:145" ht="11.25" customHeight="1" x14ac:dyDescent="0.2">
      <c r="B22" s="79" t="s">
        <v>2255</v>
      </c>
      <c r="C22" s="125" t="str">
        <f>IF(('Coopa del Mondo 2014'!F27=""), "",'Coopa del Mondo 2014'!F27)</f>
        <v/>
      </c>
      <c r="D22" s="125" t="str">
        <f>IF(('Coopa del Mondo 2014'!G27=""), "",'Coopa del Mondo 2014'!G27)</f>
        <v/>
      </c>
      <c r="E22" s="86" t="s">
        <v>2443</v>
      </c>
      <c r="G22">
        <f>IF(ISBLANK('Coopa del Mondo 2014'!F27),0,1)</f>
        <v>0</v>
      </c>
      <c r="H22" s="132">
        <v>2</v>
      </c>
      <c r="I22" s="132">
        <v>1</v>
      </c>
      <c r="J22" s="126" t="str">
        <f t="shared" si="0"/>
        <v/>
      </c>
      <c r="K22" s="132">
        <v>3</v>
      </c>
      <c r="L22" s="132">
        <v>0</v>
      </c>
      <c r="M22" s="126" t="str">
        <f t="shared" si="1"/>
        <v/>
      </c>
      <c r="N22" s="132">
        <v>0</v>
      </c>
      <c r="O22" s="132">
        <v>0</v>
      </c>
      <c r="P22" s="126" t="str">
        <f t="shared" si="2"/>
        <v/>
      </c>
      <c r="Q22" s="132">
        <v>0</v>
      </c>
      <c r="R22" s="132">
        <v>0</v>
      </c>
      <c r="S22" s="126" t="str">
        <f t="shared" si="3"/>
        <v/>
      </c>
      <c r="T22" s="132">
        <v>2</v>
      </c>
      <c r="U22" s="132">
        <v>1</v>
      </c>
      <c r="V22" s="126" t="str">
        <f>IF($G22=1,(IF(AND($C22=$T22,$D22=$U22),3,(IF(AND($C22&gt;$D22,$T22&gt;$U22),1,(IF(AND($D22&gt;$C22,$U22&gt;$T22),1,(IF(AND($C22=$D22,$T22=$U22),1,0)))))))),"")</f>
        <v/>
      </c>
      <c r="W22" s="135"/>
      <c r="X22" s="135"/>
      <c r="Y22" s="136"/>
      <c r="Z22" s="135"/>
      <c r="AA22" s="135"/>
      <c r="AB22" s="136"/>
      <c r="AC22" s="135"/>
      <c r="AD22" s="135"/>
      <c r="AE22" s="136"/>
      <c r="AF22" s="135"/>
      <c r="AG22" s="135"/>
      <c r="AH22" s="136"/>
      <c r="AI22" s="135"/>
      <c r="AJ22" s="135"/>
      <c r="AK22" s="136"/>
      <c r="AL22" s="135"/>
      <c r="AM22" s="135"/>
      <c r="AN22" s="136"/>
      <c r="AO22" s="135"/>
      <c r="AP22" s="135"/>
      <c r="AQ22" s="136"/>
      <c r="AR22" s="135"/>
      <c r="AS22" s="135"/>
      <c r="AT22" s="136"/>
      <c r="AU22" s="135"/>
      <c r="AV22" s="135"/>
      <c r="AW22" s="136"/>
      <c r="AX22" s="135"/>
      <c r="AY22" s="135"/>
      <c r="AZ22" s="136"/>
      <c r="BA22" s="135"/>
      <c r="BB22" s="135"/>
      <c r="BC22" s="136"/>
      <c r="BD22" s="135"/>
      <c r="BE22" s="135"/>
      <c r="BF22" s="136"/>
      <c r="BG22" s="135"/>
      <c r="BH22" s="135"/>
      <c r="BI22" s="136"/>
      <c r="BJ22" s="135"/>
      <c r="BK22" s="135"/>
      <c r="BL22" s="136"/>
      <c r="BM22" s="135"/>
      <c r="BN22" s="135"/>
      <c r="BO22" s="136"/>
      <c r="BP22" s="135"/>
      <c r="BQ22" s="135"/>
      <c r="BR22" s="136"/>
      <c r="BS22" s="135"/>
      <c r="BT22" s="135"/>
      <c r="BU22" s="136"/>
      <c r="BV22" s="135"/>
      <c r="BW22" s="135"/>
      <c r="BX22" s="136"/>
      <c r="BY22" s="135"/>
      <c r="BZ22" s="135"/>
      <c r="CA22" s="136"/>
      <c r="CB22" s="135"/>
      <c r="CC22" s="135"/>
      <c r="CD22" s="136"/>
      <c r="CE22" s="135"/>
      <c r="CF22" s="135"/>
      <c r="CG22" s="136"/>
      <c r="CH22" s="135"/>
      <c r="CI22" s="135"/>
      <c r="CJ22" s="136"/>
      <c r="CK22" s="135"/>
      <c r="CL22" s="135"/>
      <c r="CM22" s="136"/>
      <c r="CN22" s="135"/>
      <c r="CO22" s="135"/>
      <c r="CP22" s="136"/>
      <c r="CQ22" s="135"/>
      <c r="CR22" s="135"/>
      <c r="CS22" s="136"/>
      <c r="CT22" s="135"/>
      <c r="CU22" s="135"/>
      <c r="CV22" s="136"/>
      <c r="CW22" s="135"/>
      <c r="CX22" s="135"/>
      <c r="CY22" s="136"/>
      <c r="CZ22" s="135"/>
      <c r="DA22" s="135"/>
      <c r="DB22" s="136"/>
      <c r="DC22" s="135"/>
      <c r="DD22" s="135"/>
      <c r="DE22" s="136"/>
      <c r="DF22" s="135"/>
      <c r="DG22" s="135"/>
      <c r="DH22" s="136"/>
      <c r="DI22" s="135"/>
      <c r="DJ22" s="135"/>
      <c r="DK22" s="136"/>
      <c r="DL22" s="135"/>
      <c r="DM22" s="135"/>
      <c r="DN22" s="136"/>
      <c r="DO22" s="135"/>
      <c r="DP22" s="135"/>
      <c r="DQ22" s="136"/>
      <c r="DR22" s="135"/>
      <c r="DS22" s="135"/>
      <c r="DT22" s="136"/>
      <c r="DU22" s="135"/>
      <c r="DV22" s="135"/>
      <c r="DW22" s="136"/>
      <c r="DX22" s="135"/>
      <c r="DY22" s="135"/>
      <c r="DZ22" s="136"/>
      <c r="EA22" s="135"/>
      <c r="EB22" s="135"/>
      <c r="EC22" s="136"/>
      <c r="ED22" s="135"/>
      <c r="EE22" s="135"/>
      <c r="EF22" s="136"/>
      <c r="EG22" s="135"/>
      <c r="EH22" s="135"/>
      <c r="EI22" s="136"/>
      <c r="EJ22" s="135"/>
      <c r="EK22" s="135"/>
      <c r="EL22" s="136"/>
      <c r="EM22" s="135"/>
      <c r="EN22" s="135"/>
      <c r="EO22" s="136"/>
    </row>
    <row r="23" spans="2:145" ht="11.25" customHeight="1" x14ac:dyDescent="0.2">
      <c r="B23" s="79" t="s">
        <v>953</v>
      </c>
      <c r="C23" s="125" t="str">
        <f>IF(('Coopa del Mondo 2014'!F28=""), "",'Coopa del Mondo 2014'!F28)</f>
        <v/>
      </c>
      <c r="D23" s="125" t="str">
        <f>IF(('Coopa del Mondo 2014'!G28=""), "",'Coopa del Mondo 2014'!G28)</f>
        <v/>
      </c>
      <c r="E23" s="86" t="s">
        <v>1468</v>
      </c>
      <c r="G23">
        <f>IF(ISBLANK('Coopa del Mondo 2014'!F28),0,1)</f>
        <v>0</v>
      </c>
      <c r="H23" s="132">
        <v>1</v>
      </c>
      <c r="I23" s="132">
        <v>3</v>
      </c>
      <c r="J23" s="126" t="str">
        <f t="shared" si="0"/>
        <v/>
      </c>
      <c r="K23" s="132">
        <v>1</v>
      </c>
      <c r="L23" s="132">
        <v>1</v>
      </c>
      <c r="M23" s="126" t="str">
        <f t="shared" si="1"/>
        <v/>
      </c>
      <c r="N23" s="132">
        <v>1</v>
      </c>
      <c r="O23" s="132">
        <v>2</v>
      </c>
      <c r="P23" s="126" t="str">
        <f t="shared" si="2"/>
        <v/>
      </c>
      <c r="Q23" s="132">
        <v>1</v>
      </c>
      <c r="R23" s="132">
        <v>1</v>
      </c>
      <c r="S23" s="126" t="str">
        <f t="shared" si="3"/>
        <v/>
      </c>
      <c r="T23" s="132">
        <v>2</v>
      </c>
      <c r="U23" s="132">
        <v>0</v>
      </c>
      <c r="V23" s="126" t="str">
        <f>IF($G23=1,(IF(AND($C23=$T23,$D23=$U23),3,(IF(AND($C23&gt;$D23,$T23&gt;$U23),1,(IF(AND($D23&gt;$C23,$U23&gt;$T23),1,(IF(AND($C23=$D23,$T23=$U23),1,0)))))))),"")</f>
        <v/>
      </c>
      <c r="W23" s="135"/>
      <c r="X23" s="135"/>
      <c r="Y23" s="136"/>
      <c r="Z23" s="135"/>
      <c r="AA23" s="135"/>
      <c r="AB23" s="136"/>
      <c r="AC23" s="135"/>
      <c r="AD23" s="135"/>
      <c r="AE23" s="136"/>
      <c r="AF23" s="135"/>
      <c r="AG23" s="135"/>
      <c r="AH23" s="136"/>
      <c r="AI23" s="135"/>
      <c r="AJ23" s="135"/>
      <c r="AK23" s="136"/>
      <c r="AL23" s="135"/>
      <c r="AM23" s="135"/>
      <c r="AN23" s="136"/>
      <c r="AO23" s="135"/>
      <c r="AP23" s="135"/>
      <c r="AQ23" s="136"/>
      <c r="AR23" s="135"/>
      <c r="AS23" s="135"/>
      <c r="AT23" s="136"/>
      <c r="AU23" s="135"/>
      <c r="AV23" s="135"/>
      <c r="AW23" s="136"/>
      <c r="AX23" s="135"/>
      <c r="AY23" s="135"/>
      <c r="AZ23" s="136"/>
      <c r="BA23" s="135"/>
      <c r="BB23" s="135"/>
      <c r="BC23" s="136"/>
      <c r="BD23" s="135"/>
      <c r="BE23" s="135"/>
      <c r="BF23" s="136"/>
      <c r="BG23" s="135"/>
      <c r="BH23" s="135"/>
      <c r="BI23" s="136"/>
      <c r="BJ23" s="135"/>
      <c r="BK23" s="135"/>
      <c r="BL23" s="136"/>
      <c r="BM23" s="135"/>
      <c r="BN23" s="135"/>
      <c r="BO23" s="136"/>
      <c r="BP23" s="135"/>
      <c r="BQ23" s="135"/>
      <c r="BR23" s="136"/>
      <c r="BS23" s="135"/>
      <c r="BT23" s="135"/>
      <c r="BU23" s="136"/>
      <c r="BV23" s="135"/>
      <c r="BW23" s="135"/>
      <c r="BX23" s="136"/>
      <c r="BY23" s="135"/>
      <c r="BZ23" s="135"/>
      <c r="CA23" s="136"/>
      <c r="CB23" s="135"/>
      <c r="CC23" s="135"/>
      <c r="CD23" s="136"/>
      <c r="CE23" s="135"/>
      <c r="CF23" s="135"/>
      <c r="CG23" s="136"/>
      <c r="CH23" s="135"/>
      <c r="CI23" s="135"/>
      <c r="CJ23" s="136"/>
      <c r="CK23" s="135"/>
      <c r="CL23" s="135"/>
      <c r="CM23" s="136"/>
      <c r="CN23" s="135"/>
      <c r="CO23" s="135"/>
      <c r="CP23" s="136"/>
      <c r="CQ23" s="135"/>
      <c r="CR23" s="135"/>
      <c r="CS23" s="136"/>
      <c r="CT23" s="135"/>
      <c r="CU23" s="135"/>
      <c r="CV23" s="136"/>
      <c r="CW23" s="135"/>
      <c r="CX23" s="135"/>
      <c r="CY23" s="136"/>
      <c r="CZ23" s="135"/>
      <c r="DA23" s="135"/>
      <c r="DB23" s="136"/>
      <c r="DC23" s="135"/>
      <c r="DD23" s="135"/>
      <c r="DE23" s="136"/>
      <c r="DF23" s="135"/>
      <c r="DG23" s="135"/>
      <c r="DH23" s="136"/>
      <c r="DI23" s="135"/>
      <c r="DJ23" s="135"/>
      <c r="DK23" s="136"/>
      <c r="DL23" s="135"/>
      <c r="DM23" s="135"/>
      <c r="DN23" s="136"/>
      <c r="DO23" s="135"/>
      <c r="DP23" s="135"/>
      <c r="DQ23" s="136"/>
      <c r="DR23" s="135"/>
      <c r="DS23" s="135"/>
      <c r="DT23" s="136"/>
      <c r="DU23" s="135"/>
      <c r="DV23" s="135"/>
      <c r="DW23" s="136"/>
      <c r="DX23" s="135"/>
      <c r="DY23" s="135"/>
      <c r="DZ23" s="136"/>
      <c r="EA23" s="135"/>
      <c r="EB23" s="135"/>
      <c r="EC23" s="136"/>
      <c r="ED23" s="135"/>
      <c r="EE23" s="135"/>
      <c r="EF23" s="136"/>
      <c r="EG23" s="135"/>
      <c r="EH23" s="135"/>
      <c r="EI23" s="136"/>
      <c r="EJ23" s="135"/>
      <c r="EK23" s="135"/>
      <c r="EL23" s="136"/>
      <c r="EM23" s="135"/>
      <c r="EN23" s="135"/>
      <c r="EO23" s="136"/>
    </row>
    <row r="24" spans="2:145" ht="11.25" customHeight="1" x14ac:dyDescent="0.2">
      <c r="B24" s="79" t="s">
        <v>1471</v>
      </c>
      <c r="C24" s="125" t="str">
        <f>IF(('Coopa del Mondo 2014'!F29=""), "",'Coopa del Mondo 2014'!F29)</f>
        <v/>
      </c>
      <c r="D24" s="125" t="str">
        <f>IF(('Coopa del Mondo 2014'!G29=""), "",'Coopa del Mondo 2014'!G29)</f>
        <v/>
      </c>
      <c r="E24" s="86" t="s">
        <v>1015</v>
      </c>
      <c r="G24">
        <f>IF(ISBLANK('Coopa del Mondo 2014'!F29),0,1)</f>
        <v>0</v>
      </c>
      <c r="H24" s="132">
        <v>0</v>
      </c>
      <c r="I24" s="132">
        <v>1</v>
      </c>
      <c r="J24" s="126" t="str">
        <f t="shared" si="0"/>
        <v/>
      </c>
      <c r="K24" s="132">
        <v>2</v>
      </c>
      <c r="L24" s="132">
        <v>0</v>
      </c>
      <c r="M24" s="126" t="str">
        <f t="shared" si="1"/>
        <v/>
      </c>
      <c r="N24" s="132">
        <v>1</v>
      </c>
      <c r="O24" s="132">
        <v>1</v>
      </c>
      <c r="P24" s="126" t="str">
        <f t="shared" si="2"/>
        <v/>
      </c>
      <c r="Q24" s="132">
        <v>2</v>
      </c>
      <c r="R24" s="132">
        <v>1</v>
      </c>
      <c r="S24" s="126" t="str">
        <f t="shared" si="3"/>
        <v/>
      </c>
      <c r="T24" s="132">
        <v>0</v>
      </c>
      <c r="U24" s="132">
        <v>0</v>
      </c>
      <c r="V24" s="126" t="str">
        <f>IF($G24=1,(IF(AND($C24=$T24,$D24=$U24),3,(IF(AND($C24&gt;$D24,$T24&gt;$U24),1,(IF(AND($D24&gt;$C24,$U24&gt;$T24),1,(IF(AND($C24=$D24,$T24=$U24),1,0)))))))),"")</f>
        <v/>
      </c>
      <c r="W24" s="135"/>
      <c r="X24" s="135"/>
      <c r="Y24" s="136"/>
      <c r="Z24" s="135"/>
      <c r="AA24" s="135"/>
      <c r="AB24" s="136"/>
      <c r="AC24" s="135"/>
      <c r="AD24" s="135"/>
      <c r="AE24" s="136"/>
      <c r="AF24" s="135"/>
      <c r="AG24" s="135"/>
      <c r="AH24" s="136"/>
      <c r="AI24" s="135"/>
      <c r="AJ24" s="135"/>
      <c r="AK24" s="136"/>
      <c r="AL24" s="135"/>
      <c r="AM24" s="135"/>
      <c r="AN24" s="136"/>
      <c r="AO24" s="135"/>
      <c r="AP24" s="135"/>
      <c r="AQ24" s="136"/>
      <c r="AR24" s="135"/>
      <c r="AS24" s="135"/>
      <c r="AT24" s="136"/>
      <c r="AU24" s="135"/>
      <c r="AV24" s="135"/>
      <c r="AW24" s="136"/>
      <c r="AX24" s="135"/>
      <c r="AY24" s="135"/>
      <c r="AZ24" s="136"/>
      <c r="BA24" s="135"/>
      <c r="BB24" s="135"/>
      <c r="BC24" s="136"/>
      <c r="BD24" s="135"/>
      <c r="BE24" s="135"/>
      <c r="BF24" s="136"/>
      <c r="BG24" s="135"/>
      <c r="BH24" s="135"/>
      <c r="BI24" s="136"/>
      <c r="BJ24" s="135"/>
      <c r="BK24" s="135"/>
      <c r="BL24" s="136"/>
      <c r="BM24" s="135"/>
      <c r="BN24" s="135"/>
      <c r="BO24" s="136"/>
      <c r="BP24" s="135"/>
      <c r="BQ24" s="135"/>
      <c r="BR24" s="136"/>
      <c r="BS24" s="135"/>
      <c r="BT24" s="135"/>
      <c r="BU24" s="136"/>
      <c r="BV24" s="135"/>
      <c r="BW24" s="135"/>
      <c r="BX24" s="136"/>
      <c r="BY24" s="135"/>
      <c r="BZ24" s="135"/>
      <c r="CA24" s="136"/>
      <c r="CB24" s="135"/>
      <c r="CC24" s="135"/>
      <c r="CD24" s="136"/>
      <c r="CE24" s="135"/>
      <c r="CF24" s="135"/>
      <c r="CG24" s="136"/>
      <c r="CH24" s="135"/>
      <c r="CI24" s="135"/>
      <c r="CJ24" s="136"/>
      <c r="CK24" s="135"/>
      <c r="CL24" s="135"/>
      <c r="CM24" s="136"/>
      <c r="CN24" s="135"/>
      <c r="CO24" s="135"/>
      <c r="CP24" s="136"/>
      <c r="CQ24" s="135"/>
      <c r="CR24" s="135"/>
      <c r="CS24" s="136"/>
      <c r="CT24" s="135"/>
      <c r="CU24" s="135"/>
      <c r="CV24" s="136"/>
      <c r="CW24" s="135"/>
      <c r="CX24" s="135"/>
      <c r="CY24" s="136"/>
      <c r="CZ24" s="135"/>
      <c r="DA24" s="135"/>
      <c r="DB24" s="136"/>
      <c r="DC24" s="135"/>
      <c r="DD24" s="135"/>
      <c r="DE24" s="136"/>
      <c r="DF24" s="135"/>
      <c r="DG24" s="135"/>
      <c r="DH24" s="136"/>
      <c r="DI24" s="135"/>
      <c r="DJ24" s="135"/>
      <c r="DK24" s="136"/>
      <c r="DL24" s="135"/>
      <c r="DM24" s="135"/>
      <c r="DN24" s="136"/>
      <c r="DO24" s="135"/>
      <c r="DP24" s="135"/>
      <c r="DQ24" s="136"/>
      <c r="DR24" s="135"/>
      <c r="DS24" s="135"/>
      <c r="DT24" s="136"/>
      <c r="DU24" s="135"/>
      <c r="DV24" s="135"/>
      <c r="DW24" s="136"/>
      <c r="DX24" s="135"/>
      <c r="DY24" s="135"/>
      <c r="DZ24" s="136"/>
      <c r="EA24" s="135"/>
      <c r="EB24" s="135"/>
      <c r="EC24" s="136"/>
      <c r="ED24" s="135"/>
      <c r="EE24" s="135"/>
      <c r="EF24" s="136"/>
      <c r="EG24" s="135"/>
      <c r="EH24" s="135"/>
      <c r="EI24" s="136"/>
      <c r="EJ24" s="135"/>
      <c r="EK24" s="135"/>
      <c r="EL24" s="136"/>
      <c r="EM24" s="135"/>
      <c r="EN24" s="135"/>
      <c r="EO24" s="136"/>
    </row>
    <row r="25" spans="2:145" ht="11.25" customHeight="1" x14ac:dyDescent="0.2">
      <c r="B25" s="79" t="s">
        <v>1022</v>
      </c>
      <c r="C25" s="125" t="str">
        <f>IF(('Coopa del Mondo 2014'!F30=""), "",'Coopa del Mondo 2014'!F30)</f>
        <v/>
      </c>
      <c r="D25" s="125" t="str">
        <f>IF(('Coopa del Mondo 2014'!G30=""), "",'Coopa del Mondo 2014'!G30)</f>
        <v/>
      </c>
      <c r="E25" s="86" t="s">
        <v>2319</v>
      </c>
      <c r="G25">
        <f>IF(ISBLANK('Coopa del Mondo 2014'!F30),0,1)</f>
        <v>0</v>
      </c>
      <c r="H25" s="132">
        <v>1</v>
      </c>
      <c r="I25" s="132">
        <v>1</v>
      </c>
      <c r="J25" s="126" t="str">
        <f t="shared" si="0"/>
        <v/>
      </c>
      <c r="K25" s="132">
        <v>3</v>
      </c>
      <c r="L25" s="132">
        <v>0</v>
      </c>
      <c r="M25" s="126" t="str">
        <f t="shared" si="1"/>
        <v/>
      </c>
      <c r="N25" s="132">
        <v>2</v>
      </c>
      <c r="O25" s="132">
        <v>0</v>
      </c>
      <c r="P25" s="126" t="str">
        <f t="shared" si="2"/>
        <v/>
      </c>
      <c r="Q25" s="132">
        <v>3</v>
      </c>
      <c r="R25" s="132">
        <v>1</v>
      </c>
      <c r="S25" s="126" t="str">
        <f t="shared" si="3"/>
        <v/>
      </c>
      <c r="T25" s="132">
        <v>1</v>
      </c>
      <c r="U25" s="132">
        <v>0</v>
      </c>
      <c r="V25" s="126" t="str">
        <f>IF($G25=1,(IF(AND($C25=$T25,$D25=$U25),3,(IF(AND($C25&gt;$D25,$T25&gt;$U25),1,(IF(AND($D25&gt;$C25,$U25&gt;$T25),1,(IF(AND($C25=$D25,$T25=$U25),1,0)))))))),"")</f>
        <v/>
      </c>
      <c r="W25" s="135"/>
      <c r="X25" s="135"/>
      <c r="Y25" s="136"/>
      <c r="Z25" s="135"/>
      <c r="AA25" s="135"/>
      <c r="AB25" s="136"/>
      <c r="AC25" s="135"/>
      <c r="AD25" s="135"/>
      <c r="AE25" s="136"/>
      <c r="AF25" s="135"/>
      <c r="AG25" s="135"/>
      <c r="AH25" s="136"/>
      <c r="AI25" s="135"/>
      <c r="AJ25" s="135"/>
      <c r="AK25" s="136"/>
      <c r="AL25" s="135"/>
      <c r="AM25" s="135"/>
      <c r="AN25" s="136"/>
      <c r="AO25" s="135"/>
      <c r="AP25" s="135"/>
      <c r="AQ25" s="136"/>
      <c r="AR25" s="135"/>
      <c r="AS25" s="135"/>
      <c r="AT25" s="136"/>
      <c r="AU25" s="135"/>
      <c r="AV25" s="135"/>
      <c r="AW25" s="136"/>
      <c r="AX25" s="135"/>
      <c r="AY25" s="135"/>
      <c r="AZ25" s="136"/>
      <c r="BA25" s="135"/>
      <c r="BB25" s="135"/>
      <c r="BC25" s="136"/>
      <c r="BD25" s="135"/>
      <c r="BE25" s="135"/>
      <c r="BF25" s="136"/>
      <c r="BG25" s="135"/>
      <c r="BH25" s="135"/>
      <c r="BI25" s="136"/>
      <c r="BJ25" s="135"/>
      <c r="BK25" s="135"/>
      <c r="BL25" s="136"/>
      <c r="BM25" s="135"/>
      <c r="BN25" s="135"/>
      <c r="BO25" s="136"/>
      <c r="BP25" s="135"/>
      <c r="BQ25" s="135"/>
      <c r="BR25" s="136"/>
      <c r="BS25" s="135"/>
      <c r="BT25" s="135"/>
      <c r="BU25" s="136"/>
      <c r="BV25" s="135"/>
      <c r="BW25" s="135"/>
      <c r="BX25" s="136"/>
      <c r="BY25" s="135"/>
      <c r="BZ25" s="135"/>
      <c r="CA25" s="136"/>
      <c r="CB25" s="135"/>
      <c r="CC25" s="135"/>
      <c r="CD25" s="136"/>
      <c r="CE25" s="135"/>
      <c r="CF25" s="135"/>
      <c r="CG25" s="136"/>
      <c r="CH25" s="135"/>
      <c r="CI25" s="135"/>
      <c r="CJ25" s="136"/>
      <c r="CK25" s="135"/>
      <c r="CL25" s="135"/>
      <c r="CM25" s="136"/>
      <c r="CN25" s="135"/>
      <c r="CO25" s="135"/>
      <c r="CP25" s="136"/>
      <c r="CQ25" s="135"/>
      <c r="CR25" s="135"/>
      <c r="CS25" s="136"/>
      <c r="CT25" s="135"/>
      <c r="CU25" s="135"/>
      <c r="CV25" s="136"/>
      <c r="CW25" s="135"/>
      <c r="CX25" s="135"/>
      <c r="CY25" s="136"/>
      <c r="CZ25" s="135"/>
      <c r="DA25" s="135"/>
      <c r="DB25" s="136"/>
      <c r="DC25" s="135"/>
      <c r="DD25" s="135"/>
      <c r="DE25" s="136"/>
      <c r="DF25" s="135"/>
      <c r="DG25" s="135"/>
      <c r="DH25" s="136"/>
      <c r="DI25" s="135"/>
      <c r="DJ25" s="135"/>
      <c r="DK25" s="136"/>
      <c r="DL25" s="135"/>
      <c r="DM25" s="135"/>
      <c r="DN25" s="136"/>
      <c r="DO25" s="135"/>
      <c r="DP25" s="135"/>
      <c r="DQ25" s="136"/>
      <c r="DR25" s="135"/>
      <c r="DS25" s="135"/>
      <c r="DT25" s="136"/>
      <c r="DU25" s="135"/>
      <c r="DV25" s="135"/>
      <c r="DW25" s="136"/>
      <c r="DX25" s="135"/>
      <c r="DY25" s="135"/>
      <c r="DZ25" s="136"/>
      <c r="EA25" s="135"/>
      <c r="EB25" s="135"/>
      <c r="EC25" s="136"/>
      <c r="ED25" s="135"/>
      <c r="EE25" s="135"/>
      <c r="EF25" s="136"/>
      <c r="EG25" s="135"/>
      <c r="EH25" s="135"/>
      <c r="EI25" s="136"/>
      <c r="EJ25" s="135"/>
      <c r="EK25" s="135"/>
      <c r="EL25" s="136"/>
      <c r="EM25" s="135"/>
      <c r="EN25" s="135"/>
      <c r="EO25" s="136"/>
    </row>
    <row r="26" spans="2:145" ht="11.25" customHeight="1" x14ac:dyDescent="0.2">
      <c r="B26" s="79" t="s">
        <v>1475</v>
      </c>
      <c r="C26" s="125" t="str">
        <f>IF(('Coopa del Mondo 2014'!F31=""), "",'Coopa del Mondo 2014'!F31)</f>
        <v/>
      </c>
      <c r="D26" s="125" t="str">
        <f>IF(('Coopa del Mondo 2014'!G31=""), "",'Coopa del Mondo 2014'!G31)</f>
        <v/>
      </c>
      <c r="E26" s="86" t="s">
        <v>1013</v>
      </c>
      <c r="G26">
        <f>IF(ISBLANK('Coopa del Mondo 2014'!F31),0,1)</f>
        <v>0</v>
      </c>
      <c r="H26" s="132">
        <v>1</v>
      </c>
      <c r="I26" s="132">
        <v>3</v>
      </c>
      <c r="J26" s="126" t="str">
        <f t="shared" si="0"/>
        <v/>
      </c>
      <c r="K26" s="132">
        <v>1</v>
      </c>
      <c r="L26" s="132">
        <v>0</v>
      </c>
      <c r="M26" s="126" t="str">
        <f t="shared" si="1"/>
        <v/>
      </c>
      <c r="N26" s="132">
        <v>0</v>
      </c>
      <c r="O26" s="132">
        <v>1</v>
      </c>
      <c r="P26" s="126" t="str">
        <f t="shared" si="2"/>
        <v/>
      </c>
      <c r="Q26" s="132">
        <v>0</v>
      </c>
      <c r="R26" s="132">
        <v>2</v>
      </c>
      <c r="S26" s="126" t="str">
        <f t="shared" si="3"/>
        <v/>
      </c>
      <c r="T26" s="132">
        <v>1</v>
      </c>
      <c r="U26" s="132">
        <v>1</v>
      </c>
      <c r="V26" s="126" t="str">
        <f>IF($G26=1,(IF(AND($C26=$T26,$D26=$U26),3,(IF(AND($C26&gt;$D26,$T26&gt;$U26),1,(IF(AND($D26&gt;$C26,$U26&gt;$T26),1,(IF(AND($C26=$D26,$T26=$U26),1,0)))))))),"")</f>
        <v/>
      </c>
      <c r="W26" s="135"/>
      <c r="X26" s="135"/>
      <c r="Y26" s="136"/>
      <c r="Z26" s="135"/>
      <c r="AA26" s="135"/>
      <c r="AB26" s="136"/>
      <c r="AC26" s="135"/>
      <c r="AD26" s="135"/>
      <c r="AE26" s="136"/>
      <c r="AF26" s="135"/>
      <c r="AG26" s="135"/>
      <c r="AH26" s="136"/>
      <c r="AI26" s="135"/>
      <c r="AJ26" s="135"/>
      <c r="AK26" s="136"/>
      <c r="AL26" s="135"/>
      <c r="AM26" s="135"/>
      <c r="AN26" s="136"/>
      <c r="AO26" s="135"/>
      <c r="AP26" s="135"/>
      <c r="AQ26" s="136"/>
      <c r="AR26" s="135"/>
      <c r="AS26" s="135"/>
      <c r="AT26" s="136"/>
      <c r="AU26" s="135"/>
      <c r="AV26" s="135"/>
      <c r="AW26" s="136"/>
      <c r="AX26" s="135"/>
      <c r="AY26" s="135"/>
      <c r="AZ26" s="136"/>
      <c r="BA26" s="135"/>
      <c r="BB26" s="135"/>
      <c r="BC26" s="136"/>
      <c r="BD26" s="135"/>
      <c r="BE26" s="135"/>
      <c r="BF26" s="136"/>
      <c r="BG26" s="135"/>
      <c r="BH26" s="135"/>
      <c r="BI26" s="136"/>
      <c r="BJ26" s="135"/>
      <c r="BK26" s="135"/>
      <c r="BL26" s="136"/>
      <c r="BM26" s="135"/>
      <c r="BN26" s="135"/>
      <c r="BO26" s="136"/>
      <c r="BP26" s="135"/>
      <c r="BQ26" s="135"/>
      <c r="BR26" s="136"/>
      <c r="BS26" s="135"/>
      <c r="BT26" s="135"/>
      <c r="BU26" s="136"/>
      <c r="BV26" s="135"/>
      <c r="BW26" s="135"/>
      <c r="BX26" s="136"/>
      <c r="BY26" s="135"/>
      <c r="BZ26" s="135"/>
      <c r="CA26" s="136"/>
      <c r="CB26" s="135"/>
      <c r="CC26" s="135"/>
      <c r="CD26" s="136"/>
      <c r="CE26" s="135"/>
      <c r="CF26" s="135"/>
      <c r="CG26" s="136"/>
      <c r="CH26" s="135"/>
      <c r="CI26" s="135"/>
      <c r="CJ26" s="136"/>
      <c r="CK26" s="135"/>
      <c r="CL26" s="135"/>
      <c r="CM26" s="136"/>
      <c r="CN26" s="135"/>
      <c r="CO26" s="135"/>
      <c r="CP26" s="136"/>
      <c r="CQ26" s="135"/>
      <c r="CR26" s="135"/>
      <c r="CS26" s="136"/>
      <c r="CT26" s="135"/>
      <c r="CU26" s="135"/>
      <c r="CV26" s="136"/>
      <c r="CW26" s="135"/>
      <c r="CX26" s="135"/>
      <c r="CY26" s="136"/>
      <c r="CZ26" s="135"/>
      <c r="DA26" s="135"/>
      <c r="DB26" s="136"/>
      <c r="DC26" s="135"/>
      <c r="DD26" s="135"/>
      <c r="DE26" s="136"/>
      <c r="DF26" s="135"/>
      <c r="DG26" s="135"/>
      <c r="DH26" s="136"/>
      <c r="DI26" s="135"/>
      <c r="DJ26" s="135"/>
      <c r="DK26" s="136"/>
      <c r="DL26" s="135"/>
      <c r="DM26" s="135"/>
      <c r="DN26" s="136"/>
      <c r="DO26" s="135"/>
      <c r="DP26" s="135"/>
      <c r="DQ26" s="136"/>
      <c r="DR26" s="135"/>
      <c r="DS26" s="135"/>
      <c r="DT26" s="136"/>
      <c r="DU26" s="135"/>
      <c r="DV26" s="135"/>
      <c r="DW26" s="136"/>
      <c r="DX26" s="135"/>
      <c r="DY26" s="135"/>
      <c r="DZ26" s="136"/>
      <c r="EA26" s="135"/>
      <c r="EB26" s="135"/>
      <c r="EC26" s="136"/>
      <c r="ED26" s="135"/>
      <c r="EE26" s="135"/>
      <c r="EF26" s="136"/>
      <c r="EG26" s="135"/>
      <c r="EH26" s="135"/>
      <c r="EI26" s="136"/>
      <c r="EJ26" s="135"/>
      <c r="EK26" s="135"/>
      <c r="EL26" s="136"/>
      <c r="EM26" s="135"/>
      <c r="EN26" s="135"/>
      <c r="EO26" s="136"/>
    </row>
    <row r="27" spans="2:145" ht="11.25" customHeight="1" x14ac:dyDescent="0.2">
      <c r="B27" s="79" t="s">
        <v>971</v>
      </c>
      <c r="C27" s="125" t="str">
        <f>IF(('Coopa del Mondo 2014'!F32=""), "",'Coopa del Mondo 2014'!F32)</f>
        <v/>
      </c>
      <c r="D27" s="125" t="str">
        <f>IF(('Coopa del Mondo 2014'!G32=""), "",'Coopa del Mondo 2014'!G32)</f>
        <v/>
      </c>
      <c r="E27" s="86" t="s">
        <v>2257</v>
      </c>
      <c r="G27">
        <f>IF(ISBLANK('Coopa del Mondo 2014'!F32),0,1)</f>
        <v>0</v>
      </c>
      <c r="H27" s="132">
        <v>1</v>
      </c>
      <c r="I27" s="132">
        <v>1</v>
      </c>
      <c r="J27" s="126" t="str">
        <f t="shared" si="0"/>
        <v/>
      </c>
      <c r="K27" s="132">
        <v>3</v>
      </c>
      <c r="L27" s="132">
        <v>3</v>
      </c>
      <c r="M27" s="126" t="str">
        <f t="shared" si="1"/>
        <v/>
      </c>
      <c r="N27" s="132">
        <v>1</v>
      </c>
      <c r="O27" s="132">
        <v>1</v>
      </c>
      <c r="P27" s="126" t="str">
        <f t="shared" si="2"/>
        <v/>
      </c>
      <c r="Q27" s="132">
        <v>0</v>
      </c>
      <c r="R27" s="132">
        <v>0</v>
      </c>
      <c r="S27" s="126" t="str">
        <f t="shared" si="3"/>
        <v/>
      </c>
      <c r="T27" s="132">
        <v>0</v>
      </c>
      <c r="U27" s="132">
        <v>2</v>
      </c>
      <c r="V27" s="126" t="str">
        <f>IF($G27=1,(IF(AND($C27=$T27,$D27=$U27),3,(IF(AND($C27&gt;$D27,$T27&gt;$U27),1,(IF(AND($D27&gt;$C27,$U27&gt;$T27),1,(IF(AND($C27=$D27,$T27=$U27),1,0)))))))),"")</f>
        <v/>
      </c>
      <c r="W27" s="135"/>
      <c r="X27" s="135"/>
      <c r="Y27" s="136"/>
      <c r="Z27" s="135"/>
      <c r="AA27" s="135"/>
      <c r="AB27" s="136"/>
      <c r="AC27" s="135"/>
      <c r="AD27" s="135"/>
      <c r="AE27" s="136"/>
      <c r="AF27" s="135"/>
      <c r="AG27" s="135"/>
      <c r="AH27" s="136"/>
      <c r="AI27" s="135"/>
      <c r="AJ27" s="135"/>
      <c r="AK27" s="136"/>
      <c r="AL27" s="135"/>
      <c r="AM27" s="135"/>
      <c r="AN27" s="136"/>
      <c r="AO27" s="135"/>
      <c r="AP27" s="135"/>
      <c r="AQ27" s="136"/>
      <c r="AR27" s="135"/>
      <c r="AS27" s="135"/>
      <c r="AT27" s="136"/>
      <c r="AU27" s="135"/>
      <c r="AV27" s="135"/>
      <c r="AW27" s="136"/>
      <c r="AX27" s="135"/>
      <c r="AY27" s="135"/>
      <c r="AZ27" s="136"/>
      <c r="BA27" s="135"/>
      <c r="BB27" s="135"/>
      <c r="BC27" s="136"/>
      <c r="BD27" s="135"/>
      <c r="BE27" s="135"/>
      <c r="BF27" s="136"/>
      <c r="BG27" s="135"/>
      <c r="BH27" s="135"/>
      <c r="BI27" s="136"/>
      <c r="BJ27" s="135"/>
      <c r="BK27" s="135"/>
      <c r="BL27" s="136"/>
      <c r="BM27" s="135"/>
      <c r="BN27" s="135"/>
      <c r="BO27" s="136"/>
      <c r="BP27" s="135"/>
      <c r="BQ27" s="135"/>
      <c r="BR27" s="136"/>
      <c r="BS27" s="135"/>
      <c r="BT27" s="135"/>
      <c r="BU27" s="136"/>
      <c r="BV27" s="135"/>
      <c r="BW27" s="135"/>
      <c r="BX27" s="136"/>
      <c r="BY27" s="135"/>
      <c r="BZ27" s="135"/>
      <c r="CA27" s="136"/>
      <c r="CB27" s="135"/>
      <c r="CC27" s="135"/>
      <c r="CD27" s="136"/>
      <c r="CE27" s="135"/>
      <c r="CF27" s="135"/>
      <c r="CG27" s="136"/>
      <c r="CH27" s="135"/>
      <c r="CI27" s="135"/>
      <c r="CJ27" s="136"/>
      <c r="CK27" s="135"/>
      <c r="CL27" s="135"/>
      <c r="CM27" s="136"/>
      <c r="CN27" s="135"/>
      <c r="CO27" s="135"/>
      <c r="CP27" s="136"/>
      <c r="CQ27" s="135"/>
      <c r="CR27" s="135"/>
      <c r="CS27" s="136"/>
      <c r="CT27" s="135"/>
      <c r="CU27" s="135"/>
      <c r="CV27" s="136"/>
      <c r="CW27" s="135"/>
      <c r="CX27" s="135"/>
      <c r="CY27" s="136"/>
      <c r="CZ27" s="135"/>
      <c r="DA27" s="135"/>
      <c r="DB27" s="136"/>
      <c r="DC27" s="135"/>
      <c r="DD27" s="135"/>
      <c r="DE27" s="136"/>
      <c r="DF27" s="135"/>
      <c r="DG27" s="135"/>
      <c r="DH27" s="136"/>
      <c r="DI27" s="135"/>
      <c r="DJ27" s="135"/>
      <c r="DK27" s="136"/>
      <c r="DL27" s="135"/>
      <c r="DM27" s="135"/>
      <c r="DN27" s="136"/>
      <c r="DO27" s="135"/>
      <c r="DP27" s="135"/>
      <c r="DQ27" s="136"/>
      <c r="DR27" s="135"/>
      <c r="DS27" s="135"/>
      <c r="DT27" s="136"/>
      <c r="DU27" s="135"/>
      <c r="DV27" s="135"/>
      <c r="DW27" s="136"/>
      <c r="DX27" s="135"/>
      <c r="DY27" s="135"/>
      <c r="DZ27" s="136"/>
      <c r="EA27" s="135"/>
      <c r="EB27" s="135"/>
      <c r="EC27" s="136"/>
      <c r="ED27" s="135"/>
      <c r="EE27" s="135"/>
      <c r="EF27" s="136"/>
      <c r="EG27" s="135"/>
      <c r="EH27" s="135"/>
      <c r="EI27" s="136"/>
      <c r="EJ27" s="135"/>
      <c r="EK27" s="135"/>
      <c r="EL27" s="136"/>
      <c r="EM27" s="135"/>
      <c r="EN27" s="135"/>
      <c r="EO27" s="136"/>
    </row>
    <row r="28" spans="2:145" ht="11.25" customHeight="1" x14ac:dyDescent="0.2">
      <c r="B28" s="79" t="s">
        <v>954</v>
      </c>
      <c r="C28" s="125" t="str">
        <f>IF(('Coopa del Mondo 2014'!F33=""), "",'Coopa del Mondo 2014'!F33)</f>
        <v/>
      </c>
      <c r="D28" s="125" t="str">
        <f>IF(('Coopa del Mondo 2014'!G33=""), "",'Coopa del Mondo 2014'!G33)</f>
        <v/>
      </c>
      <c r="E28" s="86" t="s">
        <v>2259</v>
      </c>
      <c r="G28">
        <f>IF(ISBLANK('Coopa del Mondo 2014'!F33),0,1)</f>
        <v>0</v>
      </c>
      <c r="H28" s="132">
        <v>7</v>
      </c>
      <c r="I28" s="132">
        <v>0</v>
      </c>
      <c r="J28" s="126" t="str">
        <f t="shared" si="0"/>
        <v/>
      </c>
      <c r="K28" s="132">
        <v>4</v>
      </c>
      <c r="L28" s="132">
        <v>0</v>
      </c>
      <c r="M28" s="126" t="str">
        <f t="shared" si="1"/>
        <v/>
      </c>
      <c r="N28" s="132">
        <v>2</v>
      </c>
      <c r="O28" s="132">
        <v>1</v>
      </c>
      <c r="P28" s="126" t="str">
        <f t="shared" si="2"/>
        <v/>
      </c>
      <c r="Q28" s="132">
        <v>2</v>
      </c>
      <c r="R28" s="132">
        <v>0</v>
      </c>
      <c r="S28" s="126" t="str">
        <f t="shared" si="3"/>
        <v/>
      </c>
      <c r="T28" s="132">
        <v>3</v>
      </c>
      <c r="U28" s="132">
        <v>0</v>
      </c>
      <c r="V28" s="126" t="str">
        <f>IF($G28=1,(IF(AND($C28=$T28,$D28=$U28),3,(IF(AND($C28&gt;$D28,$T28&gt;$U28),1,(IF(AND($D28&gt;$C28,$U28&gt;$T28),1,(IF(AND($C28=$D28,$T28=$U28),1,0)))))))),"")</f>
        <v/>
      </c>
      <c r="W28" s="135"/>
      <c r="X28" s="135"/>
      <c r="Y28" s="136"/>
      <c r="Z28" s="135"/>
      <c r="AA28" s="135"/>
      <c r="AB28" s="136"/>
      <c r="AC28" s="135"/>
      <c r="AD28" s="135"/>
      <c r="AE28" s="136"/>
      <c r="AF28" s="135"/>
      <c r="AG28" s="135"/>
      <c r="AH28" s="136"/>
      <c r="AI28" s="135"/>
      <c r="AJ28" s="135"/>
      <c r="AK28" s="136"/>
      <c r="AL28" s="135"/>
      <c r="AM28" s="135"/>
      <c r="AN28" s="136"/>
      <c r="AO28" s="135"/>
      <c r="AP28" s="135"/>
      <c r="AQ28" s="136"/>
      <c r="AR28" s="135"/>
      <c r="AS28" s="135"/>
      <c r="AT28" s="136"/>
      <c r="AU28" s="135"/>
      <c r="AV28" s="135"/>
      <c r="AW28" s="136"/>
      <c r="AX28" s="135"/>
      <c r="AY28" s="135"/>
      <c r="AZ28" s="136"/>
      <c r="BA28" s="135"/>
      <c r="BB28" s="135"/>
      <c r="BC28" s="136"/>
      <c r="BD28" s="135"/>
      <c r="BE28" s="135"/>
      <c r="BF28" s="136"/>
      <c r="BG28" s="135"/>
      <c r="BH28" s="135"/>
      <c r="BI28" s="136"/>
      <c r="BJ28" s="135"/>
      <c r="BK28" s="135"/>
      <c r="BL28" s="136"/>
      <c r="BM28" s="135"/>
      <c r="BN28" s="135"/>
      <c r="BO28" s="136"/>
      <c r="BP28" s="135"/>
      <c r="BQ28" s="135"/>
      <c r="BR28" s="136"/>
      <c r="BS28" s="135"/>
      <c r="BT28" s="135"/>
      <c r="BU28" s="136"/>
      <c r="BV28" s="135"/>
      <c r="BW28" s="135"/>
      <c r="BX28" s="136"/>
      <c r="BY28" s="135"/>
      <c r="BZ28" s="135"/>
      <c r="CA28" s="136"/>
      <c r="CB28" s="135"/>
      <c r="CC28" s="135"/>
      <c r="CD28" s="136"/>
      <c r="CE28" s="135"/>
      <c r="CF28" s="135"/>
      <c r="CG28" s="136"/>
      <c r="CH28" s="135"/>
      <c r="CI28" s="135"/>
      <c r="CJ28" s="136"/>
      <c r="CK28" s="135"/>
      <c r="CL28" s="135"/>
      <c r="CM28" s="136"/>
      <c r="CN28" s="135"/>
      <c r="CO28" s="135"/>
      <c r="CP28" s="136"/>
      <c r="CQ28" s="135"/>
      <c r="CR28" s="135"/>
      <c r="CS28" s="136"/>
      <c r="CT28" s="135"/>
      <c r="CU28" s="135"/>
      <c r="CV28" s="136"/>
      <c r="CW28" s="135"/>
      <c r="CX28" s="135"/>
      <c r="CY28" s="136"/>
      <c r="CZ28" s="135"/>
      <c r="DA28" s="135"/>
      <c r="DB28" s="136"/>
      <c r="DC28" s="135"/>
      <c r="DD28" s="135"/>
      <c r="DE28" s="136"/>
      <c r="DF28" s="135"/>
      <c r="DG28" s="135"/>
      <c r="DH28" s="136"/>
      <c r="DI28" s="135"/>
      <c r="DJ28" s="135"/>
      <c r="DK28" s="136"/>
      <c r="DL28" s="135"/>
      <c r="DM28" s="135"/>
      <c r="DN28" s="136"/>
      <c r="DO28" s="135"/>
      <c r="DP28" s="135"/>
      <c r="DQ28" s="136"/>
      <c r="DR28" s="135"/>
      <c r="DS28" s="135"/>
      <c r="DT28" s="136"/>
      <c r="DU28" s="135"/>
      <c r="DV28" s="135"/>
      <c r="DW28" s="136"/>
      <c r="DX28" s="135"/>
      <c r="DY28" s="135"/>
      <c r="DZ28" s="136"/>
      <c r="EA28" s="135"/>
      <c r="EB28" s="135"/>
      <c r="EC28" s="136"/>
      <c r="ED28" s="135"/>
      <c r="EE28" s="135"/>
      <c r="EF28" s="136"/>
      <c r="EG28" s="135"/>
      <c r="EH28" s="135"/>
      <c r="EI28" s="136"/>
      <c r="EJ28" s="135"/>
      <c r="EK28" s="135"/>
      <c r="EL28" s="136"/>
      <c r="EM28" s="135"/>
      <c r="EN28" s="135"/>
      <c r="EO28" s="136"/>
    </row>
    <row r="29" spans="2:145" ht="11.25" customHeight="1" x14ac:dyDescent="0.2">
      <c r="B29" s="79" t="s">
        <v>1469</v>
      </c>
      <c r="C29" s="125" t="str">
        <f>IF(('Coopa del Mondo 2014'!F34=""), "",'Coopa del Mondo 2014'!F34)</f>
        <v/>
      </c>
      <c r="D29" s="125" t="str">
        <f>IF(('Coopa del Mondo 2014'!G34=""), "",'Coopa del Mondo 2014'!G34)</f>
        <v/>
      </c>
      <c r="E29" s="86" t="s">
        <v>962</v>
      </c>
      <c r="G29">
        <f>IF(ISBLANK('Coopa del Mondo 2014'!F34),0,1)</f>
        <v>0</v>
      </c>
      <c r="H29" s="132">
        <v>6</v>
      </c>
      <c r="I29" s="132">
        <v>0</v>
      </c>
      <c r="J29" s="126" t="str">
        <f t="shared" si="0"/>
        <v/>
      </c>
      <c r="K29" s="132">
        <v>3</v>
      </c>
      <c r="L29" s="132">
        <v>0</v>
      </c>
      <c r="M29" s="126" t="str">
        <f t="shared" si="1"/>
        <v/>
      </c>
      <c r="N29" s="132">
        <v>2</v>
      </c>
      <c r="O29" s="132">
        <v>1</v>
      </c>
      <c r="P29" s="126" t="str">
        <f t="shared" si="2"/>
        <v/>
      </c>
      <c r="Q29" s="132">
        <v>3</v>
      </c>
      <c r="R29" s="132">
        <v>2</v>
      </c>
      <c r="S29" s="126" t="str">
        <f t="shared" si="3"/>
        <v/>
      </c>
      <c r="T29" s="132">
        <v>2</v>
      </c>
      <c r="U29" s="132">
        <v>1</v>
      </c>
      <c r="V29" s="126" t="str">
        <f>IF($G29=1,(IF(AND($C29=$T29,$D29=$U29),3,(IF(AND($C29&gt;$D29,$T29&gt;$U29),1,(IF(AND($D29&gt;$C29,$U29&gt;$T29),1,(IF(AND($C29=$D29,$T29=$U29),1,0)))))))),"")</f>
        <v/>
      </c>
      <c r="W29" s="135"/>
      <c r="X29" s="135"/>
      <c r="Y29" s="136"/>
      <c r="Z29" s="135"/>
      <c r="AA29" s="135"/>
      <c r="AB29" s="136"/>
      <c r="AC29" s="135"/>
      <c r="AD29" s="135"/>
      <c r="AE29" s="136"/>
      <c r="AF29" s="135"/>
      <c r="AG29" s="135"/>
      <c r="AH29" s="136"/>
      <c r="AI29" s="135"/>
      <c r="AJ29" s="135"/>
      <c r="AK29" s="136"/>
      <c r="AL29" s="135"/>
      <c r="AM29" s="135"/>
      <c r="AN29" s="136"/>
      <c r="AO29" s="135"/>
      <c r="AP29" s="135"/>
      <c r="AQ29" s="136"/>
      <c r="AR29" s="135"/>
      <c r="AS29" s="135"/>
      <c r="AT29" s="136"/>
      <c r="AU29" s="135"/>
      <c r="AV29" s="135"/>
      <c r="AW29" s="136"/>
      <c r="AX29" s="135"/>
      <c r="AY29" s="135"/>
      <c r="AZ29" s="136"/>
      <c r="BA29" s="135"/>
      <c r="BB29" s="135"/>
      <c r="BC29" s="136"/>
      <c r="BD29" s="135"/>
      <c r="BE29" s="135"/>
      <c r="BF29" s="136"/>
      <c r="BG29" s="135"/>
      <c r="BH29" s="135"/>
      <c r="BI29" s="136"/>
      <c r="BJ29" s="135"/>
      <c r="BK29" s="135"/>
      <c r="BL29" s="136"/>
      <c r="BM29" s="135"/>
      <c r="BN29" s="135"/>
      <c r="BO29" s="136"/>
      <c r="BP29" s="135"/>
      <c r="BQ29" s="135"/>
      <c r="BR29" s="136"/>
      <c r="BS29" s="135"/>
      <c r="BT29" s="135"/>
      <c r="BU29" s="136"/>
      <c r="BV29" s="135"/>
      <c r="BW29" s="135"/>
      <c r="BX29" s="136"/>
      <c r="BY29" s="135"/>
      <c r="BZ29" s="135"/>
      <c r="CA29" s="136"/>
      <c r="CB29" s="135"/>
      <c r="CC29" s="135"/>
      <c r="CD29" s="136"/>
      <c r="CE29" s="135"/>
      <c r="CF29" s="135"/>
      <c r="CG29" s="136"/>
      <c r="CH29" s="135"/>
      <c r="CI29" s="135"/>
      <c r="CJ29" s="136"/>
      <c r="CK29" s="135"/>
      <c r="CL29" s="135"/>
      <c r="CM29" s="136"/>
      <c r="CN29" s="135"/>
      <c r="CO29" s="135"/>
      <c r="CP29" s="136"/>
      <c r="CQ29" s="135"/>
      <c r="CR29" s="135"/>
      <c r="CS29" s="136"/>
      <c r="CT29" s="135"/>
      <c r="CU29" s="135"/>
      <c r="CV29" s="136"/>
      <c r="CW29" s="135"/>
      <c r="CX29" s="135"/>
      <c r="CY29" s="136"/>
      <c r="CZ29" s="135"/>
      <c r="DA29" s="135"/>
      <c r="DB29" s="136"/>
      <c r="DC29" s="135"/>
      <c r="DD29" s="135"/>
      <c r="DE29" s="136"/>
      <c r="DF29" s="135"/>
      <c r="DG29" s="135"/>
      <c r="DH29" s="136"/>
      <c r="DI29" s="135"/>
      <c r="DJ29" s="135"/>
      <c r="DK29" s="136"/>
      <c r="DL29" s="135"/>
      <c r="DM29" s="135"/>
      <c r="DN29" s="136"/>
      <c r="DO29" s="135"/>
      <c r="DP29" s="135"/>
      <c r="DQ29" s="136"/>
      <c r="DR29" s="135"/>
      <c r="DS29" s="135"/>
      <c r="DT29" s="136"/>
      <c r="DU29" s="135"/>
      <c r="DV29" s="135"/>
      <c r="DW29" s="136"/>
      <c r="DX29" s="135"/>
      <c r="DY29" s="135"/>
      <c r="DZ29" s="136"/>
      <c r="EA29" s="135"/>
      <c r="EB29" s="135"/>
      <c r="EC29" s="136"/>
      <c r="ED29" s="135"/>
      <c r="EE29" s="135"/>
      <c r="EF29" s="136"/>
      <c r="EG29" s="135"/>
      <c r="EH29" s="135"/>
      <c r="EI29" s="136"/>
      <c r="EJ29" s="135"/>
      <c r="EK29" s="135"/>
      <c r="EL29" s="136"/>
      <c r="EM29" s="135"/>
      <c r="EN29" s="135"/>
      <c r="EO29" s="136"/>
    </row>
    <row r="30" spans="2:145" ht="11.25" customHeight="1" x14ac:dyDescent="0.2">
      <c r="B30" s="79" t="s">
        <v>955</v>
      </c>
      <c r="C30" s="125" t="str">
        <f>IF(('Coopa del Mondo 2014'!F35=""), "",'Coopa del Mondo 2014'!F35)</f>
        <v/>
      </c>
      <c r="D30" s="125" t="str">
        <f>IF(('Coopa del Mondo 2014'!G35=""), "",'Coopa del Mondo 2014'!G35)</f>
        <v/>
      </c>
      <c r="E30" s="86" t="s">
        <v>2375</v>
      </c>
      <c r="G30">
        <f>IF(ISBLANK('Coopa del Mondo 2014'!F35),0,1)</f>
        <v>0</v>
      </c>
      <c r="H30" s="132">
        <v>1</v>
      </c>
      <c r="I30" s="132">
        <v>1</v>
      </c>
      <c r="J30" s="126" t="str">
        <f t="shared" si="0"/>
        <v/>
      </c>
      <c r="K30" s="132">
        <v>1</v>
      </c>
      <c r="L30" s="132">
        <v>1</v>
      </c>
      <c r="M30" s="126" t="str">
        <f t="shared" si="1"/>
        <v/>
      </c>
      <c r="N30" s="132">
        <v>1</v>
      </c>
      <c r="O30" s="132">
        <v>0</v>
      </c>
      <c r="P30" s="126" t="str">
        <f t="shared" si="2"/>
        <v/>
      </c>
      <c r="Q30" s="132">
        <v>2</v>
      </c>
      <c r="R30" s="132">
        <v>0</v>
      </c>
      <c r="S30" s="126" t="str">
        <f t="shared" si="3"/>
        <v/>
      </c>
      <c r="T30" s="132">
        <v>1</v>
      </c>
      <c r="U30" s="132">
        <v>2</v>
      </c>
      <c r="V30" s="126" t="str">
        <f>IF($G30=1,(IF(AND($C30=$T30,$D30=$U30),3,(IF(AND($C30&gt;$D30,$T30&gt;$U30),1,(IF(AND($D30&gt;$C30,$U30&gt;$T30),1,(IF(AND($C30=$D30,$T30=$U30),1,0)))))))),"")</f>
        <v/>
      </c>
      <c r="W30" s="135"/>
      <c r="X30" s="135"/>
      <c r="Y30" s="136"/>
      <c r="Z30" s="135"/>
      <c r="AA30" s="135"/>
      <c r="AB30" s="136"/>
      <c r="AC30" s="135"/>
      <c r="AD30" s="135"/>
      <c r="AE30" s="136"/>
      <c r="AF30" s="135"/>
      <c r="AG30" s="135"/>
      <c r="AH30" s="136"/>
      <c r="AI30" s="135"/>
      <c r="AJ30" s="135"/>
      <c r="AK30" s="136"/>
      <c r="AL30" s="135"/>
      <c r="AM30" s="135"/>
      <c r="AN30" s="136"/>
      <c r="AO30" s="135"/>
      <c r="AP30" s="135"/>
      <c r="AQ30" s="136"/>
      <c r="AR30" s="135"/>
      <c r="AS30" s="135"/>
      <c r="AT30" s="136"/>
      <c r="AU30" s="135"/>
      <c r="AV30" s="135"/>
      <c r="AW30" s="136"/>
      <c r="AX30" s="135"/>
      <c r="AY30" s="135"/>
      <c r="AZ30" s="136"/>
      <c r="BA30" s="135"/>
      <c r="BB30" s="135"/>
      <c r="BC30" s="136"/>
      <c r="BD30" s="135"/>
      <c r="BE30" s="135"/>
      <c r="BF30" s="136"/>
      <c r="BG30" s="135"/>
      <c r="BH30" s="135"/>
      <c r="BI30" s="136"/>
      <c r="BJ30" s="135"/>
      <c r="BK30" s="135"/>
      <c r="BL30" s="136"/>
      <c r="BM30" s="135"/>
      <c r="BN30" s="135"/>
      <c r="BO30" s="136"/>
      <c r="BP30" s="135"/>
      <c r="BQ30" s="135"/>
      <c r="BR30" s="136"/>
      <c r="BS30" s="135"/>
      <c r="BT30" s="135"/>
      <c r="BU30" s="136"/>
      <c r="BV30" s="135"/>
      <c r="BW30" s="135"/>
      <c r="BX30" s="136"/>
      <c r="BY30" s="135"/>
      <c r="BZ30" s="135"/>
      <c r="CA30" s="136"/>
      <c r="CB30" s="135"/>
      <c r="CC30" s="135"/>
      <c r="CD30" s="136"/>
      <c r="CE30" s="135"/>
      <c r="CF30" s="135"/>
      <c r="CG30" s="136"/>
      <c r="CH30" s="135"/>
      <c r="CI30" s="135"/>
      <c r="CJ30" s="136"/>
      <c r="CK30" s="135"/>
      <c r="CL30" s="135"/>
      <c r="CM30" s="136"/>
      <c r="CN30" s="135"/>
      <c r="CO30" s="135"/>
      <c r="CP30" s="136"/>
      <c r="CQ30" s="135"/>
      <c r="CR30" s="135"/>
      <c r="CS30" s="136"/>
      <c r="CT30" s="135"/>
      <c r="CU30" s="135"/>
      <c r="CV30" s="136"/>
      <c r="CW30" s="135"/>
      <c r="CX30" s="135"/>
      <c r="CY30" s="136"/>
      <c r="CZ30" s="135"/>
      <c r="DA30" s="135"/>
      <c r="DB30" s="136"/>
      <c r="DC30" s="135"/>
      <c r="DD30" s="135"/>
      <c r="DE30" s="136"/>
      <c r="DF30" s="135"/>
      <c r="DG30" s="135"/>
      <c r="DH30" s="136"/>
      <c r="DI30" s="135"/>
      <c r="DJ30" s="135"/>
      <c r="DK30" s="136"/>
      <c r="DL30" s="135"/>
      <c r="DM30" s="135"/>
      <c r="DN30" s="136"/>
      <c r="DO30" s="135"/>
      <c r="DP30" s="135"/>
      <c r="DQ30" s="136"/>
      <c r="DR30" s="135"/>
      <c r="DS30" s="135"/>
      <c r="DT30" s="136"/>
      <c r="DU30" s="135"/>
      <c r="DV30" s="135"/>
      <c r="DW30" s="136"/>
      <c r="DX30" s="135"/>
      <c r="DY30" s="135"/>
      <c r="DZ30" s="136"/>
      <c r="EA30" s="135"/>
      <c r="EB30" s="135"/>
      <c r="EC30" s="136"/>
      <c r="ED30" s="135"/>
      <c r="EE30" s="135"/>
      <c r="EF30" s="136"/>
      <c r="EG30" s="135"/>
      <c r="EH30" s="135"/>
      <c r="EI30" s="136"/>
      <c r="EJ30" s="135"/>
      <c r="EK30" s="135"/>
      <c r="EL30" s="136"/>
      <c r="EM30" s="135"/>
      <c r="EN30" s="135"/>
      <c r="EO30" s="136"/>
    </row>
    <row r="31" spans="2:145" ht="11.25" customHeight="1" x14ac:dyDescent="0.2">
      <c r="B31" s="79" t="s">
        <v>1356</v>
      </c>
      <c r="C31" s="125" t="str">
        <f>IF(('Coopa del Mondo 2014'!F36=""), "",'Coopa del Mondo 2014'!F36)</f>
        <v/>
      </c>
      <c r="D31" s="125" t="str">
        <f>IF(('Coopa del Mondo 2014'!G36=""), "",'Coopa del Mondo 2014'!G36)</f>
        <v/>
      </c>
      <c r="E31" s="86" t="s">
        <v>960</v>
      </c>
      <c r="G31">
        <f>IF(ISBLANK('Coopa del Mondo 2014'!F36),0,1)</f>
        <v>0</v>
      </c>
      <c r="H31" s="132">
        <v>2</v>
      </c>
      <c r="I31" s="132">
        <v>1</v>
      </c>
      <c r="J31" s="126" t="str">
        <f t="shared" si="0"/>
        <v/>
      </c>
      <c r="K31" s="132">
        <v>2</v>
      </c>
      <c r="L31" s="132">
        <v>2</v>
      </c>
      <c r="M31" s="126" t="str">
        <f t="shared" si="1"/>
        <v/>
      </c>
      <c r="N31" s="132">
        <v>0</v>
      </c>
      <c r="O31" s="132">
        <v>1</v>
      </c>
      <c r="P31" s="126" t="str">
        <f t="shared" si="2"/>
        <v/>
      </c>
      <c r="Q31" s="132">
        <v>2</v>
      </c>
      <c r="R31" s="132">
        <v>2</v>
      </c>
      <c r="S31" s="126" t="str">
        <f t="shared" si="3"/>
        <v/>
      </c>
      <c r="T31" s="132">
        <v>1</v>
      </c>
      <c r="U31" s="132">
        <v>1</v>
      </c>
      <c r="V31" s="126" t="str">
        <f>IF($G31=1,(IF(AND($C31=$T31,$D31=$U31),3,(IF(AND($C31&gt;$D31,$T31&gt;$U31),1,(IF(AND($D31&gt;$C31,$U31&gt;$T31),1,(IF(AND($C31=$D31,$T31=$U31),1,0)))))))),"")</f>
        <v/>
      </c>
      <c r="W31" s="135"/>
      <c r="X31" s="135"/>
      <c r="Y31" s="136"/>
      <c r="Z31" s="135"/>
      <c r="AA31" s="135"/>
      <c r="AB31" s="136"/>
      <c r="AC31" s="135"/>
      <c r="AD31" s="135"/>
      <c r="AE31" s="136"/>
      <c r="AF31" s="135"/>
      <c r="AG31" s="135"/>
      <c r="AH31" s="136"/>
      <c r="AI31" s="135"/>
      <c r="AJ31" s="135"/>
      <c r="AK31" s="136"/>
      <c r="AL31" s="135"/>
      <c r="AM31" s="135"/>
      <c r="AN31" s="136"/>
      <c r="AO31" s="135"/>
      <c r="AP31" s="135"/>
      <c r="AQ31" s="136"/>
      <c r="AR31" s="135"/>
      <c r="AS31" s="135"/>
      <c r="AT31" s="136"/>
      <c r="AU31" s="135"/>
      <c r="AV31" s="135"/>
      <c r="AW31" s="136"/>
      <c r="AX31" s="135"/>
      <c r="AY31" s="135"/>
      <c r="AZ31" s="136"/>
      <c r="BA31" s="135"/>
      <c r="BB31" s="135"/>
      <c r="BC31" s="136"/>
      <c r="BD31" s="135"/>
      <c r="BE31" s="135"/>
      <c r="BF31" s="136"/>
      <c r="BG31" s="135"/>
      <c r="BH31" s="135"/>
      <c r="BI31" s="136"/>
      <c r="BJ31" s="135"/>
      <c r="BK31" s="135"/>
      <c r="BL31" s="136"/>
      <c r="BM31" s="135"/>
      <c r="BN31" s="135"/>
      <c r="BO31" s="136"/>
      <c r="BP31" s="135"/>
      <c r="BQ31" s="135"/>
      <c r="BR31" s="136"/>
      <c r="BS31" s="135"/>
      <c r="BT31" s="135"/>
      <c r="BU31" s="136"/>
      <c r="BV31" s="135"/>
      <c r="BW31" s="135"/>
      <c r="BX31" s="136"/>
      <c r="BY31" s="135"/>
      <c r="BZ31" s="135"/>
      <c r="CA31" s="136"/>
      <c r="CB31" s="135"/>
      <c r="CC31" s="135"/>
      <c r="CD31" s="136"/>
      <c r="CE31" s="135"/>
      <c r="CF31" s="135"/>
      <c r="CG31" s="136"/>
      <c r="CH31" s="135"/>
      <c r="CI31" s="135"/>
      <c r="CJ31" s="136"/>
      <c r="CK31" s="135"/>
      <c r="CL31" s="135"/>
      <c r="CM31" s="136"/>
      <c r="CN31" s="135"/>
      <c r="CO31" s="135"/>
      <c r="CP31" s="136"/>
      <c r="CQ31" s="135"/>
      <c r="CR31" s="135"/>
      <c r="CS31" s="136"/>
      <c r="CT31" s="135"/>
      <c r="CU31" s="135"/>
      <c r="CV31" s="136"/>
      <c r="CW31" s="135"/>
      <c r="CX31" s="135"/>
      <c r="CY31" s="136"/>
      <c r="CZ31" s="135"/>
      <c r="DA31" s="135"/>
      <c r="DB31" s="136"/>
      <c r="DC31" s="135"/>
      <c r="DD31" s="135"/>
      <c r="DE31" s="136"/>
      <c r="DF31" s="135"/>
      <c r="DG31" s="135"/>
      <c r="DH31" s="136"/>
      <c r="DI31" s="135"/>
      <c r="DJ31" s="135"/>
      <c r="DK31" s="136"/>
      <c r="DL31" s="135"/>
      <c r="DM31" s="135"/>
      <c r="DN31" s="136"/>
      <c r="DO31" s="135"/>
      <c r="DP31" s="135"/>
      <c r="DQ31" s="136"/>
      <c r="DR31" s="135"/>
      <c r="DS31" s="135"/>
      <c r="DT31" s="136"/>
      <c r="DU31" s="135"/>
      <c r="DV31" s="135"/>
      <c r="DW31" s="136"/>
      <c r="DX31" s="135"/>
      <c r="DY31" s="135"/>
      <c r="DZ31" s="136"/>
      <c r="EA31" s="135"/>
      <c r="EB31" s="135"/>
      <c r="EC31" s="136"/>
      <c r="ED31" s="135"/>
      <c r="EE31" s="135"/>
      <c r="EF31" s="136"/>
      <c r="EG31" s="135"/>
      <c r="EH31" s="135"/>
      <c r="EI31" s="136"/>
      <c r="EJ31" s="135"/>
      <c r="EK31" s="135"/>
      <c r="EL31" s="136"/>
      <c r="EM31" s="135"/>
      <c r="EN31" s="135"/>
      <c r="EO31" s="136"/>
    </row>
    <row r="32" spans="2:145" ht="11.25" customHeight="1" x14ac:dyDescent="0.2">
      <c r="B32" s="79" t="s">
        <v>2240</v>
      </c>
      <c r="C32" s="125" t="str">
        <f>IF(('Coopa del Mondo 2014'!F37=""), "",'Coopa del Mondo 2014'!F37)</f>
        <v/>
      </c>
      <c r="D32" s="125" t="str">
        <f>IF(('Coopa del Mondo 2014'!G37=""), "",'Coopa del Mondo 2014'!G37)</f>
        <v/>
      </c>
      <c r="E32" s="86" t="s">
        <v>1473</v>
      </c>
      <c r="G32">
        <f>IF(ISBLANK('Coopa del Mondo 2014'!F37),0,1)</f>
        <v>0</v>
      </c>
      <c r="H32" s="132">
        <v>2</v>
      </c>
      <c r="I32" s="132">
        <v>3</v>
      </c>
      <c r="J32" s="126" t="str">
        <f t="shared" si="0"/>
        <v/>
      </c>
      <c r="K32" s="132">
        <v>0</v>
      </c>
      <c r="L32" s="132">
        <v>1</v>
      </c>
      <c r="M32" s="126" t="str">
        <f t="shared" si="1"/>
        <v/>
      </c>
      <c r="N32" s="132">
        <v>1</v>
      </c>
      <c r="O32" s="132">
        <v>2</v>
      </c>
      <c r="P32" s="126" t="str">
        <f t="shared" si="2"/>
        <v/>
      </c>
      <c r="Q32" s="132">
        <v>0</v>
      </c>
      <c r="R32" s="132">
        <v>3</v>
      </c>
      <c r="S32" s="126" t="str">
        <f t="shared" si="3"/>
        <v/>
      </c>
      <c r="T32" s="132">
        <v>0</v>
      </c>
      <c r="U32" s="132">
        <v>2</v>
      </c>
      <c r="V32" s="126" t="str">
        <f>IF($G32=1,(IF(AND($C32=$T32,$D32=$U32),3,(IF(AND($C32&gt;$D32,$T32&gt;$U32),1,(IF(AND($D32&gt;$C32,$U32&gt;$T32),1,(IF(AND($C32=$D32,$T32=$U32),1,0)))))))),"")</f>
        <v/>
      </c>
      <c r="W32" s="135"/>
      <c r="X32" s="135"/>
      <c r="Y32" s="136"/>
      <c r="Z32" s="135"/>
      <c r="AA32" s="135"/>
      <c r="AB32" s="136"/>
      <c r="AC32" s="135"/>
      <c r="AD32" s="135"/>
      <c r="AE32" s="136"/>
      <c r="AF32" s="135"/>
      <c r="AG32" s="135"/>
      <c r="AH32" s="136"/>
      <c r="AI32" s="135"/>
      <c r="AJ32" s="135"/>
      <c r="AK32" s="136"/>
      <c r="AL32" s="135"/>
      <c r="AM32" s="135"/>
      <c r="AN32" s="136"/>
      <c r="AO32" s="135"/>
      <c r="AP32" s="135"/>
      <c r="AQ32" s="136"/>
      <c r="AR32" s="135"/>
      <c r="AS32" s="135"/>
      <c r="AT32" s="136"/>
      <c r="AU32" s="135"/>
      <c r="AV32" s="135"/>
      <c r="AW32" s="136"/>
      <c r="AX32" s="135"/>
      <c r="AY32" s="135"/>
      <c r="AZ32" s="136"/>
      <c r="BA32" s="135"/>
      <c r="BB32" s="135"/>
      <c r="BC32" s="136"/>
      <c r="BD32" s="135"/>
      <c r="BE32" s="135"/>
      <c r="BF32" s="136"/>
      <c r="BG32" s="135"/>
      <c r="BH32" s="135"/>
      <c r="BI32" s="136"/>
      <c r="BJ32" s="135"/>
      <c r="BK32" s="135"/>
      <c r="BL32" s="136"/>
      <c r="BM32" s="135"/>
      <c r="BN32" s="135"/>
      <c r="BO32" s="136"/>
      <c r="BP32" s="135"/>
      <c r="BQ32" s="135"/>
      <c r="BR32" s="136"/>
      <c r="BS32" s="135"/>
      <c r="BT32" s="135"/>
      <c r="BU32" s="136"/>
      <c r="BV32" s="135"/>
      <c r="BW32" s="135"/>
      <c r="BX32" s="136"/>
      <c r="BY32" s="135"/>
      <c r="BZ32" s="135"/>
      <c r="CA32" s="136"/>
      <c r="CB32" s="135"/>
      <c r="CC32" s="135"/>
      <c r="CD32" s="136"/>
      <c r="CE32" s="135"/>
      <c r="CF32" s="135"/>
      <c r="CG32" s="136"/>
      <c r="CH32" s="135"/>
      <c r="CI32" s="135"/>
      <c r="CJ32" s="136"/>
      <c r="CK32" s="135"/>
      <c r="CL32" s="135"/>
      <c r="CM32" s="136"/>
      <c r="CN32" s="135"/>
      <c r="CO32" s="135"/>
      <c r="CP32" s="136"/>
      <c r="CQ32" s="135"/>
      <c r="CR32" s="135"/>
      <c r="CS32" s="136"/>
      <c r="CT32" s="135"/>
      <c r="CU32" s="135"/>
      <c r="CV32" s="136"/>
      <c r="CW32" s="135"/>
      <c r="CX32" s="135"/>
      <c r="CY32" s="136"/>
      <c r="CZ32" s="135"/>
      <c r="DA32" s="135"/>
      <c r="DB32" s="136"/>
      <c r="DC32" s="135"/>
      <c r="DD32" s="135"/>
      <c r="DE32" s="136"/>
      <c r="DF32" s="135"/>
      <c r="DG32" s="135"/>
      <c r="DH32" s="136"/>
      <c r="DI32" s="135"/>
      <c r="DJ32" s="135"/>
      <c r="DK32" s="136"/>
      <c r="DL32" s="135"/>
      <c r="DM32" s="135"/>
      <c r="DN32" s="136"/>
      <c r="DO32" s="135"/>
      <c r="DP32" s="135"/>
      <c r="DQ32" s="136"/>
      <c r="DR32" s="135"/>
      <c r="DS32" s="135"/>
      <c r="DT32" s="136"/>
      <c r="DU32" s="135"/>
      <c r="DV32" s="135"/>
      <c r="DW32" s="136"/>
      <c r="DX32" s="135"/>
      <c r="DY32" s="135"/>
      <c r="DZ32" s="136"/>
      <c r="EA32" s="135"/>
      <c r="EB32" s="135"/>
      <c r="EC32" s="136"/>
      <c r="ED32" s="135"/>
      <c r="EE32" s="135"/>
      <c r="EF32" s="136"/>
      <c r="EG32" s="135"/>
      <c r="EH32" s="135"/>
      <c r="EI32" s="136"/>
      <c r="EJ32" s="135"/>
      <c r="EK32" s="135"/>
      <c r="EL32" s="136"/>
      <c r="EM32" s="135"/>
      <c r="EN32" s="135"/>
      <c r="EO32" s="136"/>
    </row>
    <row r="33" spans="2:145" ht="11.25" customHeight="1" x14ac:dyDescent="0.2">
      <c r="B33" s="79" t="s">
        <v>2424</v>
      </c>
      <c r="C33" s="125" t="str">
        <f>IF(('Coopa del Mondo 2014'!F38=""), "",'Coopa del Mondo 2014'!F38)</f>
        <v/>
      </c>
      <c r="D33" s="125" t="str">
        <f>IF(('Coopa del Mondo 2014'!G38=""), "",'Coopa del Mondo 2014'!G38)</f>
        <v/>
      </c>
      <c r="E33" s="86" t="s">
        <v>2157</v>
      </c>
      <c r="G33">
        <f>IF(ISBLANK('Coopa del Mondo 2014'!F38),0,1)</f>
        <v>0</v>
      </c>
      <c r="H33" s="132">
        <v>2</v>
      </c>
      <c r="I33" s="132">
        <v>2</v>
      </c>
      <c r="J33" s="126" t="str">
        <f t="shared" si="0"/>
        <v/>
      </c>
      <c r="K33" s="132">
        <v>1</v>
      </c>
      <c r="L33" s="132">
        <v>0</v>
      </c>
      <c r="M33" s="126" t="str">
        <f t="shared" si="1"/>
        <v/>
      </c>
      <c r="N33" s="132">
        <v>2</v>
      </c>
      <c r="O33" s="132">
        <v>2</v>
      </c>
      <c r="P33" s="126" t="str">
        <f t="shared" si="2"/>
        <v/>
      </c>
      <c r="Q33" s="132">
        <v>1</v>
      </c>
      <c r="R33" s="132">
        <v>1</v>
      </c>
      <c r="S33" s="126" t="str">
        <f t="shared" si="3"/>
        <v/>
      </c>
      <c r="T33" s="132">
        <v>2</v>
      </c>
      <c r="U33" s="132">
        <v>2</v>
      </c>
      <c r="V33" s="126" t="str">
        <f>IF($G33=1,(IF(AND($C33=$T33,$D33=$U33),3,(IF(AND($C33&gt;$D33,$T33&gt;$U33),1,(IF(AND($D33&gt;$C33,$U33&gt;$T33),1,(IF(AND($C33=$D33,$T33=$U33),1,0)))))))),"")</f>
        <v/>
      </c>
      <c r="W33" s="135"/>
      <c r="X33" s="135"/>
      <c r="Y33" s="136"/>
      <c r="Z33" s="135"/>
      <c r="AA33" s="135"/>
      <c r="AB33" s="136"/>
      <c r="AC33" s="135"/>
      <c r="AD33" s="135"/>
      <c r="AE33" s="136"/>
      <c r="AF33" s="135"/>
      <c r="AG33" s="135"/>
      <c r="AH33" s="136"/>
      <c r="AI33" s="135"/>
      <c r="AJ33" s="135"/>
      <c r="AK33" s="136"/>
      <c r="AL33" s="135"/>
      <c r="AM33" s="135"/>
      <c r="AN33" s="136"/>
      <c r="AO33" s="135"/>
      <c r="AP33" s="135"/>
      <c r="AQ33" s="136"/>
      <c r="AR33" s="135"/>
      <c r="AS33" s="135"/>
      <c r="AT33" s="136"/>
      <c r="AU33" s="135"/>
      <c r="AV33" s="135"/>
      <c r="AW33" s="136"/>
      <c r="AX33" s="135"/>
      <c r="AY33" s="135"/>
      <c r="AZ33" s="136"/>
      <c r="BA33" s="135"/>
      <c r="BB33" s="135"/>
      <c r="BC33" s="136"/>
      <c r="BD33" s="135"/>
      <c r="BE33" s="135"/>
      <c r="BF33" s="136"/>
      <c r="BG33" s="135"/>
      <c r="BH33" s="135"/>
      <c r="BI33" s="136"/>
      <c r="BJ33" s="135"/>
      <c r="BK33" s="135"/>
      <c r="BL33" s="136"/>
      <c r="BM33" s="135"/>
      <c r="BN33" s="135"/>
      <c r="BO33" s="136"/>
      <c r="BP33" s="135"/>
      <c r="BQ33" s="135"/>
      <c r="BR33" s="136"/>
      <c r="BS33" s="135"/>
      <c r="BT33" s="135"/>
      <c r="BU33" s="136"/>
      <c r="BV33" s="135"/>
      <c r="BW33" s="135"/>
      <c r="BX33" s="136"/>
      <c r="BY33" s="135"/>
      <c r="BZ33" s="135"/>
      <c r="CA33" s="136"/>
      <c r="CB33" s="135"/>
      <c r="CC33" s="135"/>
      <c r="CD33" s="136"/>
      <c r="CE33" s="135"/>
      <c r="CF33" s="135"/>
      <c r="CG33" s="136"/>
      <c r="CH33" s="135"/>
      <c r="CI33" s="135"/>
      <c r="CJ33" s="136"/>
      <c r="CK33" s="135"/>
      <c r="CL33" s="135"/>
      <c r="CM33" s="136"/>
      <c r="CN33" s="135"/>
      <c r="CO33" s="135"/>
      <c r="CP33" s="136"/>
      <c r="CQ33" s="135"/>
      <c r="CR33" s="135"/>
      <c r="CS33" s="136"/>
      <c r="CT33" s="135"/>
      <c r="CU33" s="135"/>
      <c r="CV33" s="136"/>
      <c r="CW33" s="135"/>
      <c r="CX33" s="135"/>
      <c r="CY33" s="136"/>
      <c r="CZ33" s="135"/>
      <c r="DA33" s="135"/>
      <c r="DB33" s="136"/>
      <c r="DC33" s="135"/>
      <c r="DD33" s="135"/>
      <c r="DE33" s="136"/>
      <c r="DF33" s="135"/>
      <c r="DG33" s="135"/>
      <c r="DH33" s="136"/>
      <c r="DI33" s="135"/>
      <c r="DJ33" s="135"/>
      <c r="DK33" s="136"/>
      <c r="DL33" s="135"/>
      <c r="DM33" s="135"/>
      <c r="DN33" s="136"/>
      <c r="DO33" s="135"/>
      <c r="DP33" s="135"/>
      <c r="DQ33" s="136"/>
      <c r="DR33" s="135"/>
      <c r="DS33" s="135"/>
      <c r="DT33" s="136"/>
      <c r="DU33" s="135"/>
      <c r="DV33" s="135"/>
      <c r="DW33" s="136"/>
      <c r="DX33" s="135"/>
      <c r="DY33" s="135"/>
      <c r="DZ33" s="136"/>
      <c r="EA33" s="135"/>
      <c r="EB33" s="135"/>
      <c r="EC33" s="136"/>
      <c r="ED33" s="135"/>
      <c r="EE33" s="135"/>
      <c r="EF33" s="136"/>
      <c r="EG33" s="135"/>
      <c r="EH33" s="135"/>
      <c r="EI33" s="136"/>
      <c r="EJ33" s="135"/>
      <c r="EK33" s="135"/>
      <c r="EL33" s="136"/>
      <c r="EM33" s="135"/>
      <c r="EN33" s="135"/>
      <c r="EO33" s="136"/>
    </row>
    <row r="34" spans="2:145" ht="11.25" customHeight="1" x14ac:dyDescent="0.2">
      <c r="B34" s="79" t="s">
        <v>961</v>
      </c>
      <c r="C34" s="125" t="str">
        <f>IF(('Coopa del Mondo 2014'!F39=""), "",'Coopa del Mondo 2014'!F39)</f>
        <v/>
      </c>
      <c r="D34" s="125" t="str">
        <f>IF(('Coopa del Mondo 2014'!G39=""), "",'Coopa del Mondo 2014'!G39)</f>
        <v/>
      </c>
      <c r="E34" s="86" t="s">
        <v>1474</v>
      </c>
      <c r="G34">
        <f>IF(ISBLANK('Coopa del Mondo 2014'!F39),0,1)</f>
        <v>0</v>
      </c>
      <c r="H34" s="132">
        <v>1</v>
      </c>
      <c r="I34" s="132">
        <v>4</v>
      </c>
      <c r="J34" s="126" t="str">
        <f t="shared" si="0"/>
        <v/>
      </c>
      <c r="K34" s="132">
        <v>0</v>
      </c>
      <c r="L34" s="132">
        <v>0</v>
      </c>
      <c r="M34" s="126" t="str">
        <f t="shared" si="1"/>
        <v/>
      </c>
      <c r="N34" s="132">
        <v>0</v>
      </c>
      <c r="O34" s="132">
        <v>2</v>
      </c>
      <c r="P34" s="126" t="str">
        <f t="shared" si="2"/>
        <v/>
      </c>
      <c r="Q34" s="132">
        <v>0</v>
      </c>
      <c r="R34" s="132">
        <v>4</v>
      </c>
      <c r="S34" s="126" t="str">
        <f t="shared" si="3"/>
        <v/>
      </c>
      <c r="T34" s="132">
        <v>1</v>
      </c>
      <c r="U34" s="132">
        <v>3</v>
      </c>
      <c r="V34" s="126" t="str">
        <f>IF($G34=1,(IF(AND($C34=$T34,$D34=$U34),3,(IF(AND($C34&gt;$D34,$T34&gt;$U34),1,(IF(AND($D34&gt;$C34,$U34&gt;$T34),1,(IF(AND($C34=$D34,$T34=$U34),1,0)))))))),"")</f>
        <v/>
      </c>
      <c r="W34" s="135"/>
      <c r="X34" s="135"/>
      <c r="Y34" s="136"/>
      <c r="Z34" s="135"/>
      <c r="AA34" s="135"/>
      <c r="AB34" s="136"/>
      <c r="AC34" s="135"/>
      <c r="AD34" s="135"/>
      <c r="AE34" s="136"/>
      <c r="AF34" s="135"/>
      <c r="AG34" s="135"/>
      <c r="AH34" s="136"/>
      <c r="AI34" s="135"/>
      <c r="AJ34" s="135"/>
      <c r="AK34" s="136"/>
      <c r="AL34" s="135"/>
      <c r="AM34" s="135"/>
      <c r="AN34" s="136"/>
      <c r="AO34" s="135"/>
      <c r="AP34" s="135"/>
      <c r="AQ34" s="136"/>
      <c r="AR34" s="135"/>
      <c r="AS34" s="135"/>
      <c r="AT34" s="136"/>
      <c r="AU34" s="135"/>
      <c r="AV34" s="135"/>
      <c r="AW34" s="136"/>
      <c r="AX34" s="135"/>
      <c r="AY34" s="135"/>
      <c r="AZ34" s="136"/>
      <c r="BA34" s="135"/>
      <c r="BB34" s="135"/>
      <c r="BC34" s="136"/>
      <c r="BD34" s="135"/>
      <c r="BE34" s="135"/>
      <c r="BF34" s="136"/>
      <c r="BG34" s="135"/>
      <c r="BH34" s="135"/>
      <c r="BI34" s="136"/>
      <c r="BJ34" s="135"/>
      <c r="BK34" s="135"/>
      <c r="BL34" s="136"/>
      <c r="BM34" s="135"/>
      <c r="BN34" s="135"/>
      <c r="BO34" s="136"/>
      <c r="BP34" s="135"/>
      <c r="BQ34" s="135"/>
      <c r="BR34" s="136"/>
      <c r="BS34" s="135"/>
      <c r="BT34" s="135"/>
      <c r="BU34" s="136"/>
      <c r="BV34" s="135"/>
      <c r="BW34" s="135"/>
      <c r="BX34" s="136"/>
      <c r="BY34" s="135"/>
      <c r="BZ34" s="135"/>
      <c r="CA34" s="136"/>
      <c r="CB34" s="135"/>
      <c r="CC34" s="135"/>
      <c r="CD34" s="136"/>
      <c r="CE34" s="135"/>
      <c r="CF34" s="135"/>
      <c r="CG34" s="136"/>
      <c r="CH34" s="135"/>
      <c r="CI34" s="135"/>
      <c r="CJ34" s="136"/>
      <c r="CK34" s="135"/>
      <c r="CL34" s="135"/>
      <c r="CM34" s="136"/>
      <c r="CN34" s="135"/>
      <c r="CO34" s="135"/>
      <c r="CP34" s="136"/>
      <c r="CQ34" s="135"/>
      <c r="CR34" s="135"/>
      <c r="CS34" s="136"/>
      <c r="CT34" s="135"/>
      <c r="CU34" s="135"/>
      <c r="CV34" s="136"/>
      <c r="CW34" s="135"/>
      <c r="CX34" s="135"/>
      <c r="CY34" s="136"/>
      <c r="CZ34" s="135"/>
      <c r="DA34" s="135"/>
      <c r="DB34" s="136"/>
      <c r="DC34" s="135"/>
      <c r="DD34" s="135"/>
      <c r="DE34" s="136"/>
      <c r="DF34" s="135"/>
      <c r="DG34" s="135"/>
      <c r="DH34" s="136"/>
      <c r="DI34" s="135"/>
      <c r="DJ34" s="135"/>
      <c r="DK34" s="136"/>
      <c r="DL34" s="135"/>
      <c r="DM34" s="135"/>
      <c r="DN34" s="136"/>
      <c r="DO34" s="135"/>
      <c r="DP34" s="135"/>
      <c r="DQ34" s="136"/>
      <c r="DR34" s="135"/>
      <c r="DS34" s="135"/>
      <c r="DT34" s="136"/>
      <c r="DU34" s="135"/>
      <c r="DV34" s="135"/>
      <c r="DW34" s="136"/>
      <c r="DX34" s="135"/>
      <c r="DY34" s="135"/>
      <c r="DZ34" s="136"/>
      <c r="EA34" s="135"/>
      <c r="EB34" s="135"/>
      <c r="EC34" s="136"/>
      <c r="ED34" s="135"/>
      <c r="EE34" s="135"/>
      <c r="EF34" s="136"/>
      <c r="EG34" s="135"/>
      <c r="EH34" s="135"/>
      <c r="EI34" s="136"/>
      <c r="EJ34" s="135"/>
      <c r="EK34" s="135"/>
      <c r="EL34" s="136"/>
      <c r="EM34" s="135"/>
      <c r="EN34" s="135"/>
      <c r="EO34" s="136"/>
    </row>
    <row r="35" spans="2:145" ht="11.25" customHeight="1" x14ac:dyDescent="0.2">
      <c r="B35" s="79" t="s">
        <v>2303</v>
      </c>
      <c r="C35" s="125" t="str">
        <f>IF(('Coopa del Mondo 2014'!F40=""), "",'Coopa del Mondo 2014'!F40)</f>
        <v/>
      </c>
      <c r="D35" s="125" t="str">
        <f>IF(('Coopa del Mondo 2014'!G40=""), "",'Coopa del Mondo 2014'!G40)</f>
        <v/>
      </c>
      <c r="E35" s="86" t="s">
        <v>1476</v>
      </c>
      <c r="G35">
        <f>IF(ISBLANK('Coopa del Mondo 2014'!F40),0,1)</f>
        <v>0</v>
      </c>
      <c r="H35" s="132">
        <v>2</v>
      </c>
      <c r="I35" s="132">
        <v>2</v>
      </c>
      <c r="J35" s="126" t="str">
        <f t="shared" si="0"/>
        <v/>
      </c>
      <c r="K35" s="132">
        <v>1</v>
      </c>
      <c r="L35" s="132">
        <v>2</v>
      </c>
      <c r="M35" s="126" t="str">
        <f t="shared" si="1"/>
        <v/>
      </c>
      <c r="N35" s="132">
        <v>1</v>
      </c>
      <c r="O35" s="132">
        <v>1</v>
      </c>
      <c r="P35" s="126" t="str">
        <f t="shared" si="2"/>
        <v/>
      </c>
      <c r="Q35" s="132">
        <v>3</v>
      </c>
      <c r="R35" s="132">
        <v>1</v>
      </c>
      <c r="S35" s="126" t="str">
        <f t="shared" si="3"/>
        <v/>
      </c>
      <c r="T35" s="132">
        <v>1</v>
      </c>
      <c r="U35" s="132">
        <v>1</v>
      </c>
      <c r="V35" s="126" t="str">
        <f>IF($G35=1,(IF(AND($C35=$T35,$D35=$U35),3,(IF(AND($C35&gt;$D35,$T35&gt;$U35),1,(IF(AND($D35&gt;$C35,$U35&gt;$T35),1,(IF(AND($C35=$D35,$T35=$U35),1,0)))))))),"")</f>
        <v/>
      </c>
      <c r="W35" s="135"/>
      <c r="X35" s="135"/>
      <c r="Y35" s="136"/>
      <c r="Z35" s="135"/>
      <c r="AA35" s="135"/>
      <c r="AB35" s="136"/>
      <c r="AC35" s="135"/>
      <c r="AD35" s="135"/>
      <c r="AE35" s="136"/>
      <c r="AF35" s="135"/>
      <c r="AG35" s="135"/>
      <c r="AH35" s="136"/>
      <c r="AI35" s="135"/>
      <c r="AJ35" s="135"/>
      <c r="AK35" s="136"/>
      <c r="AL35" s="135"/>
      <c r="AM35" s="135"/>
      <c r="AN35" s="136"/>
      <c r="AO35" s="135"/>
      <c r="AP35" s="135"/>
      <c r="AQ35" s="136"/>
      <c r="AR35" s="135"/>
      <c r="AS35" s="135"/>
      <c r="AT35" s="136"/>
      <c r="AU35" s="135"/>
      <c r="AV35" s="135"/>
      <c r="AW35" s="136"/>
      <c r="AX35" s="135"/>
      <c r="AY35" s="135"/>
      <c r="AZ35" s="136"/>
      <c r="BA35" s="135"/>
      <c r="BB35" s="135"/>
      <c r="BC35" s="136"/>
      <c r="BD35" s="135"/>
      <c r="BE35" s="135"/>
      <c r="BF35" s="136"/>
      <c r="BG35" s="135"/>
      <c r="BH35" s="135"/>
      <c r="BI35" s="136"/>
      <c r="BJ35" s="135"/>
      <c r="BK35" s="135"/>
      <c r="BL35" s="136"/>
      <c r="BM35" s="135"/>
      <c r="BN35" s="135"/>
      <c r="BO35" s="136"/>
      <c r="BP35" s="135"/>
      <c r="BQ35" s="135"/>
      <c r="BR35" s="136"/>
      <c r="BS35" s="135"/>
      <c r="BT35" s="135"/>
      <c r="BU35" s="136"/>
      <c r="BV35" s="135"/>
      <c r="BW35" s="135"/>
      <c r="BX35" s="136"/>
      <c r="BY35" s="135"/>
      <c r="BZ35" s="135"/>
      <c r="CA35" s="136"/>
      <c r="CB35" s="135"/>
      <c r="CC35" s="135"/>
      <c r="CD35" s="136"/>
      <c r="CE35" s="135"/>
      <c r="CF35" s="135"/>
      <c r="CG35" s="136"/>
      <c r="CH35" s="135"/>
      <c r="CI35" s="135"/>
      <c r="CJ35" s="136"/>
      <c r="CK35" s="135"/>
      <c r="CL35" s="135"/>
      <c r="CM35" s="136"/>
      <c r="CN35" s="135"/>
      <c r="CO35" s="135"/>
      <c r="CP35" s="136"/>
      <c r="CQ35" s="135"/>
      <c r="CR35" s="135"/>
      <c r="CS35" s="136"/>
      <c r="CT35" s="135"/>
      <c r="CU35" s="135"/>
      <c r="CV35" s="136"/>
      <c r="CW35" s="135"/>
      <c r="CX35" s="135"/>
      <c r="CY35" s="136"/>
      <c r="CZ35" s="135"/>
      <c r="DA35" s="135"/>
      <c r="DB35" s="136"/>
      <c r="DC35" s="135"/>
      <c r="DD35" s="135"/>
      <c r="DE35" s="136"/>
      <c r="DF35" s="135"/>
      <c r="DG35" s="135"/>
      <c r="DH35" s="136"/>
      <c r="DI35" s="135"/>
      <c r="DJ35" s="135"/>
      <c r="DK35" s="136"/>
      <c r="DL35" s="135"/>
      <c r="DM35" s="135"/>
      <c r="DN35" s="136"/>
      <c r="DO35" s="135"/>
      <c r="DP35" s="135"/>
      <c r="DQ35" s="136"/>
      <c r="DR35" s="135"/>
      <c r="DS35" s="135"/>
      <c r="DT35" s="136"/>
      <c r="DU35" s="135"/>
      <c r="DV35" s="135"/>
      <c r="DW35" s="136"/>
      <c r="DX35" s="135"/>
      <c r="DY35" s="135"/>
      <c r="DZ35" s="136"/>
      <c r="EA35" s="135"/>
      <c r="EB35" s="135"/>
      <c r="EC35" s="136"/>
      <c r="ED35" s="135"/>
      <c r="EE35" s="135"/>
      <c r="EF35" s="136"/>
      <c r="EG35" s="135"/>
      <c r="EH35" s="135"/>
      <c r="EI35" s="136"/>
      <c r="EJ35" s="135"/>
      <c r="EK35" s="135"/>
      <c r="EL35" s="136"/>
      <c r="EM35" s="135"/>
      <c r="EN35" s="135"/>
      <c r="EO35" s="136"/>
    </row>
    <row r="36" spans="2:145" ht="11.25" customHeight="1" x14ac:dyDescent="0.2">
      <c r="B36" s="79" t="s">
        <v>1364</v>
      </c>
      <c r="C36" s="125" t="str">
        <f>IF(('Coopa del Mondo 2014'!F41=""), "",'Coopa del Mondo 2014'!F41)</f>
        <v/>
      </c>
      <c r="D36" s="125" t="str">
        <f>IF(('Coopa del Mondo 2014'!G41=""), "",'Coopa del Mondo 2014'!G41)</f>
        <v/>
      </c>
      <c r="E36" s="86" t="s">
        <v>1472</v>
      </c>
      <c r="G36">
        <f>IF(ISBLANK('Coopa del Mondo 2014'!F41),0,1)</f>
        <v>0</v>
      </c>
      <c r="H36" s="132">
        <v>0</v>
      </c>
      <c r="I36" s="132">
        <v>1</v>
      </c>
      <c r="J36" s="126" t="str">
        <f t="shared" si="0"/>
        <v/>
      </c>
      <c r="K36" s="132">
        <v>0</v>
      </c>
      <c r="L36" s="132">
        <v>2</v>
      </c>
      <c r="M36" s="126" t="str">
        <f t="shared" si="1"/>
        <v/>
      </c>
      <c r="N36" s="132">
        <v>1</v>
      </c>
      <c r="O36" s="132">
        <v>2</v>
      </c>
      <c r="P36" s="126" t="str">
        <f t="shared" si="2"/>
        <v/>
      </c>
      <c r="Q36" s="132">
        <v>0</v>
      </c>
      <c r="R36" s="132">
        <v>2</v>
      </c>
      <c r="S36" s="126" t="str">
        <f t="shared" si="3"/>
        <v/>
      </c>
      <c r="T36" s="132">
        <v>0</v>
      </c>
      <c r="U36" s="132">
        <v>2</v>
      </c>
      <c r="V36" s="126" t="str">
        <f>IF($G36=1,(IF(AND($C36=$T36,$D36=$U36),3,(IF(AND($C36&gt;$D36,$T36&gt;$U36),1,(IF(AND($D36&gt;$C36,$U36&gt;$T36),1,(IF(AND($C36=$D36,$T36=$U36),1,0)))))))),"")</f>
        <v/>
      </c>
      <c r="W36" s="135"/>
      <c r="X36" s="135"/>
      <c r="Y36" s="136"/>
      <c r="Z36" s="135"/>
      <c r="AA36" s="135"/>
      <c r="AB36" s="136"/>
      <c r="AC36" s="135"/>
      <c r="AD36" s="135"/>
      <c r="AE36" s="136"/>
      <c r="AF36" s="135"/>
      <c r="AG36" s="135"/>
      <c r="AH36" s="136"/>
      <c r="AI36" s="135"/>
      <c r="AJ36" s="135"/>
      <c r="AK36" s="136"/>
      <c r="AL36" s="135"/>
      <c r="AM36" s="135"/>
      <c r="AN36" s="136"/>
      <c r="AO36" s="135"/>
      <c r="AP36" s="135"/>
      <c r="AQ36" s="136"/>
      <c r="AR36" s="135"/>
      <c r="AS36" s="135"/>
      <c r="AT36" s="136"/>
      <c r="AU36" s="135"/>
      <c r="AV36" s="135"/>
      <c r="AW36" s="136"/>
      <c r="AX36" s="135"/>
      <c r="AY36" s="135"/>
      <c r="AZ36" s="136"/>
      <c r="BA36" s="135"/>
      <c r="BB36" s="135"/>
      <c r="BC36" s="136"/>
      <c r="BD36" s="135"/>
      <c r="BE36" s="135"/>
      <c r="BF36" s="136"/>
      <c r="BG36" s="135"/>
      <c r="BH36" s="135"/>
      <c r="BI36" s="136"/>
      <c r="BJ36" s="135"/>
      <c r="BK36" s="135"/>
      <c r="BL36" s="136"/>
      <c r="BM36" s="135"/>
      <c r="BN36" s="135"/>
      <c r="BO36" s="136"/>
      <c r="BP36" s="135"/>
      <c r="BQ36" s="135"/>
      <c r="BR36" s="136"/>
      <c r="BS36" s="135"/>
      <c r="BT36" s="135"/>
      <c r="BU36" s="136"/>
      <c r="BV36" s="135"/>
      <c r="BW36" s="135"/>
      <c r="BX36" s="136"/>
      <c r="BY36" s="135"/>
      <c r="BZ36" s="135"/>
      <c r="CA36" s="136"/>
      <c r="CB36" s="135"/>
      <c r="CC36" s="135"/>
      <c r="CD36" s="136"/>
      <c r="CE36" s="135"/>
      <c r="CF36" s="135"/>
      <c r="CG36" s="136"/>
      <c r="CH36" s="135"/>
      <c r="CI36" s="135"/>
      <c r="CJ36" s="136"/>
      <c r="CK36" s="135"/>
      <c r="CL36" s="135"/>
      <c r="CM36" s="136"/>
      <c r="CN36" s="135"/>
      <c r="CO36" s="135"/>
      <c r="CP36" s="136"/>
      <c r="CQ36" s="135"/>
      <c r="CR36" s="135"/>
      <c r="CS36" s="136"/>
      <c r="CT36" s="135"/>
      <c r="CU36" s="135"/>
      <c r="CV36" s="136"/>
      <c r="CW36" s="135"/>
      <c r="CX36" s="135"/>
      <c r="CY36" s="136"/>
      <c r="CZ36" s="135"/>
      <c r="DA36" s="135"/>
      <c r="DB36" s="136"/>
      <c r="DC36" s="135"/>
      <c r="DD36" s="135"/>
      <c r="DE36" s="136"/>
      <c r="DF36" s="135"/>
      <c r="DG36" s="135"/>
      <c r="DH36" s="136"/>
      <c r="DI36" s="135"/>
      <c r="DJ36" s="135"/>
      <c r="DK36" s="136"/>
      <c r="DL36" s="135"/>
      <c r="DM36" s="135"/>
      <c r="DN36" s="136"/>
      <c r="DO36" s="135"/>
      <c r="DP36" s="135"/>
      <c r="DQ36" s="136"/>
      <c r="DR36" s="135"/>
      <c r="DS36" s="135"/>
      <c r="DT36" s="136"/>
      <c r="DU36" s="135"/>
      <c r="DV36" s="135"/>
      <c r="DW36" s="136"/>
      <c r="DX36" s="135"/>
      <c r="DY36" s="135"/>
      <c r="DZ36" s="136"/>
      <c r="EA36" s="135"/>
      <c r="EB36" s="135"/>
      <c r="EC36" s="136"/>
      <c r="ED36" s="135"/>
      <c r="EE36" s="135"/>
      <c r="EF36" s="136"/>
      <c r="EG36" s="135"/>
      <c r="EH36" s="135"/>
      <c r="EI36" s="136"/>
      <c r="EJ36" s="135"/>
      <c r="EK36" s="135"/>
      <c r="EL36" s="136"/>
      <c r="EM36" s="135"/>
      <c r="EN36" s="135"/>
      <c r="EO36" s="136"/>
    </row>
    <row r="37" spans="2:145" ht="11.25" customHeight="1" x14ac:dyDescent="0.2">
      <c r="B37" s="79" t="s">
        <v>2071</v>
      </c>
      <c r="C37" s="125" t="str">
        <f>IF(('Coopa del Mondo 2014'!F42=""), "",'Coopa del Mondo 2014'!F42)</f>
        <v/>
      </c>
      <c r="D37" s="125" t="str">
        <f>IF(('Coopa del Mondo 2014'!G42=""), "",'Coopa del Mondo 2014'!G42)</f>
        <v/>
      </c>
      <c r="E37" s="86" t="s">
        <v>1467</v>
      </c>
      <c r="G37">
        <f>IF(ISBLANK('Coopa del Mondo 2014'!F42),0,1)</f>
        <v>0</v>
      </c>
      <c r="H37" s="132">
        <v>0</v>
      </c>
      <c r="I37" s="132">
        <v>1</v>
      </c>
      <c r="J37" s="126" t="str">
        <f t="shared" si="0"/>
        <v/>
      </c>
      <c r="K37" s="132">
        <v>1</v>
      </c>
      <c r="L37" s="132">
        <v>2</v>
      </c>
      <c r="M37" s="126" t="str">
        <f t="shared" si="1"/>
        <v/>
      </c>
      <c r="N37" s="132">
        <v>1</v>
      </c>
      <c r="O37" s="132">
        <v>1</v>
      </c>
      <c r="P37" s="126" t="str">
        <f t="shared" si="2"/>
        <v/>
      </c>
      <c r="Q37" s="132">
        <v>1</v>
      </c>
      <c r="R37" s="132">
        <v>1</v>
      </c>
      <c r="S37" s="126" t="str">
        <f t="shared" si="3"/>
        <v/>
      </c>
      <c r="T37" s="132">
        <v>1</v>
      </c>
      <c r="U37" s="132">
        <v>1</v>
      </c>
      <c r="V37" s="126" t="str">
        <f>IF($G37=1,(IF(AND($C37=$T37,$D37=$U37),3,(IF(AND($C37&gt;$D37,$T37&gt;$U37),1,(IF(AND($D37&gt;$C37,$U37&gt;$T37),1,(IF(AND($C37=$D37,$T37=$U37),1,0)))))))),"")</f>
        <v/>
      </c>
      <c r="W37" s="135"/>
      <c r="X37" s="135"/>
      <c r="Y37" s="136"/>
      <c r="Z37" s="135"/>
      <c r="AA37" s="135"/>
      <c r="AB37" s="136"/>
      <c r="AC37" s="135"/>
      <c r="AD37" s="135"/>
      <c r="AE37" s="136"/>
      <c r="AF37" s="135"/>
      <c r="AG37" s="135"/>
      <c r="AH37" s="136"/>
      <c r="AI37" s="135"/>
      <c r="AJ37" s="135"/>
      <c r="AK37" s="136"/>
      <c r="AL37" s="135"/>
      <c r="AM37" s="135"/>
      <c r="AN37" s="136"/>
      <c r="AO37" s="135"/>
      <c r="AP37" s="135"/>
      <c r="AQ37" s="136"/>
      <c r="AR37" s="135"/>
      <c r="AS37" s="135"/>
      <c r="AT37" s="136"/>
      <c r="AU37" s="135"/>
      <c r="AV37" s="135"/>
      <c r="AW37" s="136"/>
      <c r="AX37" s="135"/>
      <c r="AY37" s="135"/>
      <c r="AZ37" s="136"/>
      <c r="BA37" s="135"/>
      <c r="BB37" s="135"/>
      <c r="BC37" s="136"/>
      <c r="BD37" s="135"/>
      <c r="BE37" s="135"/>
      <c r="BF37" s="136"/>
      <c r="BG37" s="135"/>
      <c r="BH37" s="135"/>
      <c r="BI37" s="136"/>
      <c r="BJ37" s="135"/>
      <c r="BK37" s="135"/>
      <c r="BL37" s="136"/>
      <c r="BM37" s="135"/>
      <c r="BN37" s="135"/>
      <c r="BO37" s="136"/>
      <c r="BP37" s="135"/>
      <c r="BQ37" s="135"/>
      <c r="BR37" s="136"/>
      <c r="BS37" s="135"/>
      <c r="BT37" s="135"/>
      <c r="BU37" s="136"/>
      <c r="BV37" s="135"/>
      <c r="BW37" s="135"/>
      <c r="BX37" s="136"/>
      <c r="BY37" s="135"/>
      <c r="BZ37" s="135"/>
      <c r="CA37" s="136"/>
      <c r="CB37" s="135"/>
      <c r="CC37" s="135"/>
      <c r="CD37" s="136"/>
      <c r="CE37" s="135"/>
      <c r="CF37" s="135"/>
      <c r="CG37" s="136"/>
      <c r="CH37" s="135"/>
      <c r="CI37" s="135"/>
      <c r="CJ37" s="136"/>
      <c r="CK37" s="135"/>
      <c r="CL37" s="135"/>
      <c r="CM37" s="136"/>
      <c r="CN37" s="135"/>
      <c r="CO37" s="135"/>
      <c r="CP37" s="136"/>
      <c r="CQ37" s="135"/>
      <c r="CR37" s="135"/>
      <c r="CS37" s="136"/>
      <c r="CT37" s="135"/>
      <c r="CU37" s="135"/>
      <c r="CV37" s="136"/>
      <c r="CW37" s="135"/>
      <c r="CX37" s="135"/>
      <c r="CY37" s="136"/>
      <c r="CZ37" s="135"/>
      <c r="DA37" s="135"/>
      <c r="DB37" s="136"/>
      <c r="DC37" s="135"/>
      <c r="DD37" s="135"/>
      <c r="DE37" s="136"/>
      <c r="DF37" s="135"/>
      <c r="DG37" s="135"/>
      <c r="DH37" s="136"/>
      <c r="DI37" s="135"/>
      <c r="DJ37" s="135"/>
      <c r="DK37" s="136"/>
      <c r="DL37" s="135"/>
      <c r="DM37" s="135"/>
      <c r="DN37" s="136"/>
      <c r="DO37" s="135"/>
      <c r="DP37" s="135"/>
      <c r="DQ37" s="136"/>
      <c r="DR37" s="135"/>
      <c r="DS37" s="135"/>
      <c r="DT37" s="136"/>
      <c r="DU37" s="135"/>
      <c r="DV37" s="135"/>
      <c r="DW37" s="136"/>
      <c r="DX37" s="135"/>
      <c r="DY37" s="135"/>
      <c r="DZ37" s="136"/>
      <c r="EA37" s="135"/>
      <c r="EB37" s="135"/>
      <c r="EC37" s="136"/>
      <c r="ED37" s="135"/>
      <c r="EE37" s="135"/>
      <c r="EF37" s="136"/>
      <c r="EG37" s="135"/>
      <c r="EH37" s="135"/>
      <c r="EI37" s="136"/>
      <c r="EJ37" s="135"/>
      <c r="EK37" s="135"/>
      <c r="EL37" s="136"/>
      <c r="EM37" s="135"/>
      <c r="EN37" s="135"/>
      <c r="EO37" s="136"/>
    </row>
    <row r="38" spans="2:145" ht="11.25" customHeight="1" x14ac:dyDescent="0.2">
      <c r="B38" s="79" t="s">
        <v>1022</v>
      </c>
      <c r="C38" s="125" t="str">
        <f>IF(('Coopa del Mondo 2014'!F43=""), "",'Coopa del Mondo 2014'!F43)</f>
        <v/>
      </c>
      <c r="D38" s="125" t="str">
        <f>IF(('Coopa del Mondo 2014'!G43=""), "",'Coopa del Mondo 2014'!G43)</f>
        <v/>
      </c>
      <c r="E38" s="86" t="s">
        <v>953</v>
      </c>
      <c r="G38">
        <f>IF(ISBLANK('Coopa del Mondo 2014'!F43),0,1)</f>
        <v>0</v>
      </c>
      <c r="H38" s="132">
        <v>1</v>
      </c>
      <c r="I38" s="132">
        <v>1</v>
      </c>
      <c r="J38" s="126" t="str">
        <f t="shared" si="0"/>
        <v/>
      </c>
      <c r="K38" s="132">
        <v>0</v>
      </c>
      <c r="L38" s="132">
        <v>0</v>
      </c>
      <c r="M38" s="126" t="str">
        <f t="shared" si="1"/>
        <v/>
      </c>
      <c r="N38" s="132">
        <v>3</v>
      </c>
      <c r="O38" s="132">
        <v>2</v>
      </c>
      <c r="P38" s="126" t="str">
        <f t="shared" si="2"/>
        <v/>
      </c>
      <c r="Q38" s="132">
        <v>2</v>
      </c>
      <c r="R38" s="132">
        <v>1</v>
      </c>
      <c r="S38" s="126" t="str">
        <f t="shared" si="3"/>
        <v/>
      </c>
      <c r="T38" s="132">
        <v>0</v>
      </c>
      <c r="U38" s="132">
        <v>0</v>
      </c>
      <c r="V38" s="126" t="str">
        <f>IF($G38=1,(IF(AND($C38=$T38,$D38=$U38),3,(IF(AND($C38&gt;$D38,$T38&gt;$U38),1,(IF(AND($D38&gt;$C38,$U38&gt;$T38),1,(IF(AND($C38=$D38,$T38=$U38),1,0)))))))),"")</f>
        <v/>
      </c>
      <c r="W38" s="135"/>
      <c r="X38" s="135"/>
      <c r="Y38" s="136"/>
      <c r="Z38" s="135"/>
      <c r="AA38" s="135"/>
      <c r="AB38" s="136"/>
      <c r="AC38" s="135"/>
      <c r="AD38" s="135"/>
      <c r="AE38" s="136"/>
      <c r="AF38" s="135"/>
      <c r="AG38" s="135"/>
      <c r="AH38" s="136"/>
      <c r="AI38" s="135"/>
      <c r="AJ38" s="135"/>
      <c r="AK38" s="136"/>
      <c r="AL38" s="135"/>
      <c r="AM38" s="135"/>
      <c r="AN38" s="136"/>
      <c r="AO38" s="135"/>
      <c r="AP38" s="135"/>
      <c r="AQ38" s="136"/>
      <c r="AR38" s="135"/>
      <c r="AS38" s="135"/>
      <c r="AT38" s="136"/>
      <c r="AU38" s="135"/>
      <c r="AV38" s="135"/>
      <c r="AW38" s="136"/>
      <c r="AX38" s="135"/>
      <c r="AY38" s="135"/>
      <c r="AZ38" s="136"/>
      <c r="BA38" s="135"/>
      <c r="BB38" s="135"/>
      <c r="BC38" s="136"/>
      <c r="BD38" s="135"/>
      <c r="BE38" s="135"/>
      <c r="BF38" s="136"/>
      <c r="BG38" s="135"/>
      <c r="BH38" s="135"/>
      <c r="BI38" s="136"/>
      <c r="BJ38" s="135"/>
      <c r="BK38" s="135"/>
      <c r="BL38" s="136"/>
      <c r="BM38" s="135"/>
      <c r="BN38" s="135"/>
      <c r="BO38" s="136"/>
      <c r="BP38" s="135"/>
      <c r="BQ38" s="135"/>
      <c r="BR38" s="136"/>
      <c r="BS38" s="135"/>
      <c r="BT38" s="135"/>
      <c r="BU38" s="136"/>
      <c r="BV38" s="135"/>
      <c r="BW38" s="135"/>
      <c r="BX38" s="136"/>
      <c r="BY38" s="135"/>
      <c r="BZ38" s="135"/>
      <c r="CA38" s="136"/>
      <c r="CB38" s="135"/>
      <c r="CC38" s="135"/>
      <c r="CD38" s="136"/>
      <c r="CE38" s="135"/>
      <c r="CF38" s="135"/>
      <c r="CG38" s="136"/>
      <c r="CH38" s="135"/>
      <c r="CI38" s="135"/>
      <c r="CJ38" s="136"/>
      <c r="CK38" s="135"/>
      <c r="CL38" s="135"/>
      <c r="CM38" s="136"/>
      <c r="CN38" s="135"/>
      <c r="CO38" s="135"/>
      <c r="CP38" s="136"/>
      <c r="CQ38" s="135"/>
      <c r="CR38" s="135"/>
      <c r="CS38" s="136"/>
      <c r="CT38" s="135"/>
      <c r="CU38" s="135"/>
      <c r="CV38" s="136"/>
      <c r="CW38" s="135"/>
      <c r="CX38" s="135"/>
      <c r="CY38" s="136"/>
      <c r="CZ38" s="135"/>
      <c r="DA38" s="135"/>
      <c r="DB38" s="136"/>
      <c r="DC38" s="135"/>
      <c r="DD38" s="135"/>
      <c r="DE38" s="136"/>
      <c r="DF38" s="135"/>
      <c r="DG38" s="135"/>
      <c r="DH38" s="136"/>
      <c r="DI38" s="135"/>
      <c r="DJ38" s="135"/>
      <c r="DK38" s="136"/>
      <c r="DL38" s="135"/>
      <c r="DM38" s="135"/>
      <c r="DN38" s="136"/>
      <c r="DO38" s="135"/>
      <c r="DP38" s="135"/>
      <c r="DQ38" s="136"/>
      <c r="DR38" s="135"/>
      <c r="DS38" s="135"/>
      <c r="DT38" s="136"/>
      <c r="DU38" s="135"/>
      <c r="DV38" s="135"/>
      <c r="DW38" s="136"/>
      <c r="DX38" s="135"/>
      <c r="DY38" s="135"/>
      <c r="DZ38" s="136"/>
      <c r="EA38" s="135"/>
      <c r="EB38" s="135"/>
      <c r="EC38" s="136"/>
      <c r="ED38" s="135"/>
      <c r="EE38" s="135"/>
      <c r="EF38" s="136"/>
      <c r="EG38" s="135"/>
      <c r="EH38" s="135"/>
      <c r="EI38" s="136"/>
      <c r="EJ38" s="135"/>
      <c r="EK38" s="135"/>
      <c r="EL38" s="136"/>
      <c r="EM38" s="135"/>
      <c r="EN38" s="135"/>
      <c r="EO38" s="136"/>
    </row>
    <row r="39" spans="2:145" ht="11.25" customHeight="1" x14ac:dyDescent="0.2">
      <c r="B39" s="79" t="s">
        <v>2319</v>
      </c>
      <c r="C39" s="125" t="str">
        <f>IF(('Coopa del Mondo 2014'!F44=""), "",'Coopa del Mondo 2014'!F44)</f>
        <v/>
      </c>
      <c r="D39" s="125" t="str">
        <f>IF(('Coopa del Mondo 2014'!G44=""), "",'Coopa del Mondo 2014'!G44)</f>
        <v/>
      </c>
      <c r="E39" s="86" t="s">
        <v>1468</v>
      </c>
      <c r="G39">
        <f>IF(ISBLANK('Coopa del Mondo 2014'!F44),0,1)</f>
        <v>0</v>
      </c>
      <c r="H39" s="132">
        <v>1</v>
      </c>
      <c r="I39" s="132">
        <v>1</v>
      </c>
      <c r="J39" s="126" t="str">
        <f t="shared" si="0"/>
        <v/>
      </c>
      <c r="K39" s="132">
        <v>0</v>
      </c>
      <c r="L39" s="132">
        <v>2</v>
      </c>
      <c r="M39" s="126" t="str">
        <f t="shared" si="1"/>
        <v/>
      </c>
      <c r="N39" s="132">
        <v>1</v>
      </c>
      <c r="O39" s="132">
        <v>2</v>
      </c>
      <c r="P39" s="126" t="str">
        <f t="shared" si="2"/>
        <v/>
      </c>
      <c r="Q39" s="132">
        <v>2</v>
      </c>
      <c r="R39" s="132">
        <v>1</v>
      </c>
      <c r="S39" s="126" t="str">
        <f t="shared" si="3"/>
        <v/>
      </c>
      <c r="T39" s="132">
        <v>1</v>
      </c>
      <c r="U39" s="132">
        <v>2</v>
      </c>
      <c r="V39" s="126" t="str">
        <f>IF($G39=1,(IF(AND($C39=$T39,$D39=$U39),3,(IF(AND($C39&gt;$D39,$T39&gt;$U39),1,(IF(AND($D39&gt;$C39,$U39&gt;$T39),1,(IF(AND($C39=$D39,$T39=$U39),1,0)))))))),"")</f>
        <v/>
      </c>
      <c r="W39" s="135"/>
      <c r="X39" s="135"/>
      <c r="Y39" s="136"/>
      <c r="Z39" s="135"/>
      <c r="AA39" s="135"/>
      <c r="AB39" s="136"/>
      <c r="AC39" s="135"/>
      <c r="AD39" s="135"/>
      <c r="AE39" s="136"/>
      <c r="AF39" s="135"/>
      <c r="AG39" s="135"/>
      <c r="AH39" s="136"/>
      <c r="AI39" s="135"/>
      <c r="AJ39" s="135"/>
      <c r="AK39" s="136"/>
      <c r="AL39" s="135"/>
      <c r="AM39" s="135"/>
      <c r="AN39" s="136"/>
      <c r="AO39" s="135"/>
      <c r="AP39" s="135"/>
      <c r="AQ39" s="136"/>
      <c r="AR39" s="135"/>
      <c r="AS39" s="135"/>
      <c r="AT39" s="136"/>
      <c r="AU39" s="135"/>
      <c r="AV39" s="135"/>
      <c r="AW39" s="136"/>
      <c r="AX39" s="135"/>
      <c r="AY39" s="135"/>
      <c r="AZ39" s="136"/>
      <c r="BA39" s="135"/>
      <c r="BB39" s="135"/>
      <c r="BC39" s="136"/>
      <c r="BD39" s="135"/>
      <c r="BE39" s="135"/>
      <c r="BF39" s="136"/>
      <c r="BG39" s="135"/>
      <c r="BH39" s="135"/>
      <c r="BI39" s="136"/>
      <c r="BJ39" s="135"/>
      <c r="BK39" s="135"/>
      <c r="BL39" s="136"/>
      <c r="BM39" s="135"/>
      <c r="BN39" s="135"/>
      <c r="BO39" s="136"/>
      <c r="BP39" s="135"/>
      <c r="BQ39" s="135"/>
      <c r="BR39" s="136"/>
      <c r="BS39" s="135"/>
      <c r="BT39" s="135"/>
      <c r="BU39" s="136"/>
      <c r="BV39" s="135"/>
      <c r="BW39" s="135"/>
      <c r="BX39" s="136"/>
      <c r="BY39" s="135"/>
      <c r="BZ39" s="135"/>
      <c r="CA39" s="136"/>
      <c r="CB39" s="135"/>
      <c r="CC39" s="135"/>
      <c r="CD39" s="136"/>
      <c r="CE39" s="135"/>
      <c r="CF39" s="135"/>
      <c r="CG39" s="136"/>
      <c r="CH39" s="135"/>
      <c r="CI39" s="135"/>
      <c r="CJ39" s="136"/>
      <c r="CK39" s="135"/>
      <c r="CL39" s="135"/>
      <c r="CM39" s="136"/>
      <c r="CN39" s="135"/>
      <c r="CO39" s="135"/>
      <c r="CP39" s="136"/>
      <c r="CQ39" s="135"/>
      <c r="CR39" s="135"/>
      <c r="CS39" s="136"/>
      <c r="CT39" s="135"/>
      <c r="CU39" s="135"/>
      <c r="CV39" s="136"/>
      <c r="CW39" s="135"/>
      <c r="CX39" s="135"/>
      <c r="CY39" s="136"/>
      <c r="CZ39" s="135"/>
      <c r="DA39" s="135"/>
      <c r="DB39" s="136"/>
      <c r="DC39" s="135"/>
      <c r="DD39" s="135"/>
      <c r="DE39" s="136"/>
      <c r="DF39" s="135"/>
      <c r="DG39" s="135"/>
      <c r="DH39" s="136"/>
      <c r="DI39" s="135"/>
      <c r="DJ39" s="135"/>
      <c r="DK39" s="136"/>
      <c r="DL39" s="135"/>
      <c r="DM39" s="135"/>
      <c r="DN39" s="136"/>
      <c r="DO39" s="135"/>
      <c r="DP39" s="135"/>
      <c r="DQ39" s="136"/>
      <c r="DR39" s="135"/>
      <c r="DS39" s="135"/>
      <c r="DT39" s="136"/>
      <c r="DU39" s="135"/>
      <c r="DV39" s="135"/>
      <c r="DW39" s="136"/>
      <c r="DX39" s="135"/>
      <c r="DY39" s="135"/>
      <c r="DZ39" s="136"/>
      <c r="EA39" s="135"/>
      <c r="EB39" s="135"/>
      <c r="EC39" s="136"/>
      <c r="ED39" s="135"/>
      <c r="EE39" s="135"/>
      <c r="EF39" s="136"/>
      <c r="EG39" s="135"/>
      <c r="EH39" s="135"/>
      <c r="EI39" s="136"/>
      <c r="EJ39" s="135"/>
      <c r="EK39" s="135"/>
      <c r="EL39" s="136"/>
      <c r="EM39" s="135"/>
      <c r="EN39" s="135"/>
      <c r="EO39" s="136"/>
    </row>
    <row r="40" spans="2:145" ht="11.25" customHeight="1" x14ac:dyDescent="0.2">
      <c r="B40" s="79" t="s">
        <v>1471</v>
      </c>
      <c r="C40" s="125" t="str">
        <f>IF(('Coopa del Mondo 2014'!F45=""), "",'Coopa del Mondo 2014'!F45)</f>
        <v/>
      </c>
      <c r="D40" s="125" t="str">
        <f>IF(('Coopa del Mondo 2014'!G45=""), "",'Coopa del Mondo 2014'!G45)</f>
        <v/>
      </c>
      <c r="E40" s="86" t="s">
        <v>2255</v>
      </c>
      <c r="G40">
        <f>IF(ISBLANK('Coopa del Mondo 2014'!F45),0,1)</f>
        <v>0</v>
      </c>
      <c r="H40" s="132">
        <v>2</v>
      </c>
      <c r="I40" s="132">
        <v>2</v>
      </c>
      <c r="J40" s="126" t="str">
        <f t="shared" si="0"/>
        <v/>
      </c>
      <c r="K40" s="132">
        <v>2</v>
      </c>
      <c r="L40" s="132">
        <v>2</v>
      </c>
      <c r="M40" s="126" t="str">
        <f t="shared" si="1"/>
        <v/>
      </c>
      <c r="N40" s="128">
        <v>1</v>
      </c>
      <c r="O40" s="132">
        <v>1</v>
      </c>
      <c r="P40" s="126" t="str">
        <f t="shared" si="2"/>
        <v/>
      </c>
      <c r="Q40" s="132">
        <v>0</v>
      </c>
      <c r="R40" s="132">
        <v>0</v>
      </c>
      <c r="S40" s="126" t="str">
        <f t="shared" si="3"/>
        <v/>
      </c>
      <c r="T40" s="132">
        <v>1</v>
      </c>
      <c r="U40" s="132">
        <v>1</v>
      </c>
      <c r="V40" s="126" t="str">
        <f>IF($G40=1,(IF(AND($C40=$T40,$D40=$U40),3,(IF(AND($C40&gt;$D40,$T40&gt;$U40),1,(IF(AND($D40&gt;$C40,$U40&gt;$T40),1,(IF(AND($C40=$D40,$T40=$U40),1,0)))))))),"")</f>
        <v/>
      </c>
      <c r="W40" s="135"/>
      <c r="X40" s="135"/>
      <c r="Y40" s="136"/>
      <c r="Z40" s="135"/>
      <c r="AA40" s="135"/>
      <c r="AB40" s="136"/>
      <c r="AC40" s="135"/>
      <c r="AD40" s="135"/>
      <c r="AE40" s="136"/>
      <c r="AF40" s="135"/>
      <c r="AG40" s="135"/>
      <c r="AH40" s="136"/>
      <c r="AI40" s="135"/>
      <c r="AJ40" s="135"/>
      <c r="AK40" s="136"/>
      <c r="AL40" s="135"/>
      <c r="AM40" s="135"/>
      <c r="AN40" s="136"/>
      <c r="AO40" s="135"/>
      <c r="AP40" s="135"/>
      <c r="AQ40" s="136"/>
      <c r="AR40" s="135"/>
      <c r="AS40" s="135"/>
      <c r="AT40" s="136"/>
      <c r="AU40" s="135"/>
      <c r="AV40" s="135"/>
      <c r="AW40" s="136"/>
      <c r="AX40" s="135"/>
      <c r="AY40" s="135"/>
      <c r="AZ40" s="136"/>
      <c r="BA40" s="135"/>
      <c r="BB40" s="135"/>
      <c r="BC40" s="136"/>
      <c r="BD40" s="135"/>
      <c r="BE40" s="135"/>
      <c r="BF40" s="136"/>
      <c r="BG40" s="135"/>
      <c r="BH40" s="135"/>
      <c r="BI40" s="136"/>
      <c r="BJ40" s="135"/>
      <c r="BK40" s="135"/>
      <c r="BL40" s="136"/>
      <c r="BM40" s="135"/>
      <c r="BN40" s="135"/>
      <c r="BO40" s="136"/>
      <c r="BP40" s="135"/>
      <c r="BQ40" s="135"/>
      <c r="BR40" s="136"/>
      <c r="BS40" s="135"/>
      <c r="BT40" s="135"/>
      <c r="BU40" s="136"/>
      <c r="BV40" s="135"/>
      <c r="BW40" s="135"/>
      <c r="BX40" s="136"/>
      <c r="BY40" s="135"/>
      <c r="BZ40" s="135"/>
      <c r="CA40" s="136"/>
      <c r="CB40" s="135"/>
      <c r="CC40" s="135"/>
      <c r="CD40" s="136"/>
      <c r="CE40" s="135"/>
      <c r="CF40" s="135"/>
      <c r="CG40" s="136"/>
      <c r="CH40" s="135"/>
      <c r="CI40" s="135"/>
      <c r="CJ40" s="136"/>
      <c r="CK40" s="135"/>
      <c r="CL40" s="135"/>
      <c r="CM40" s="136"/>
      <c r="CN40" s="135"/>
      <c r="CO40" s="135"/>
      <c r="CP40" s="136"/>
      <c r="CQ40" s="135"/>
      <c r="CR40" s="135"/>
      <c r="CS40" s="136"/>
      <c r="CT40" s="135"/>
      <c r="CU40" s="135"/>
      <c r="CV40" s="136"/>
      <c r="CW40" s="135"/>
      <c r="CX40" s="135"/>
      <c r="CY40" s="136"/>
      <c r="CZ40" s="135"/>
      <c r="DA40" s="135"/>
      <c r="DB40" s="136"/>
      <c r="DC40" s="135"/>
      <c r="DD40" s="135"/>
      <c r="DE40" s="136"/>
      <c r="DF40" s="135"/>
      <c r="DG40" s="135"/>
      <c r="DH40" s="136"/>
      <c r="DI40" s="135"/>
      <c r="DJ40" s="135"/>
      <c r="DK40" s="136"/>
      <c r="DL40" s="135"/>
      <c r="DM40" s="135"/>
      <c r="DN40" s="136"/>
      <c r="DO40" s="135"/>
      <c r="DP40" s="135"/>
      <c r="DQ40" s="136"/>
      <c r="DR40" s="135"/>
      <c r="DS40" s="135"/>
      <c r="DT40" s="136"/>
      <c r="DU40" s="135"/>
      <c r="DV40" s="135"/>
      <c r="DW40" s="136"/>
      <c r="DX40" s="135"/>
      <c r="DY40" s="135"/>
      <c r="DZ40" s="136"/>
      <c r="EA40" s="135"/>
      <c r="EB40" s="135"/>
      <c r="EC40" s="136"/>
      <c r="ED40" s="135"/>
      <c r="EE40" s="135"/>
      <c r="EF40" s="136"/>
      <c r="EG40" s="135"/>
      <c r="EH40" s="135"/>
      <c r="EI40" s="136"/>
      <c r="EJ40" s="135"/>
      <c r="EK40" s="135"/>
      <c r="EL40" s="136"/>
      <c r="EM40" s="135"/>
      <c r="EN40" s="135"/>
      <c r="EO40" s="136"/>
    </row>
    <row r="41" spans="2:145" ht="11.25" customHeight="1" x14ac:dyDescent="0.2">
      <c r="B41" s="79" t="s">
        <v>1015</v>
      </c>
      <c r="C41" s="125" t="str">
        <f>IF(('Coopa del Mondo 2014'!F46=""), "",'Coopa del Mondo 2014'!F46)</f>
        <v/>
      </c>
      <c r="D41" s="125" t="str">
        <f>IF(('Coopa del Mondo 2014'!G46=""), "",'Coopa del Mondo 2014'!G46)</f>
        <v/>
      </c>
      <c r="E41" s="86" t="s">
        <v>2443</v>
      </c>
      <c r="G41">
        <f>IF(ISBLANK('Coopa del Mondo 2014'!F46),0,1)</f>
        <v>0</v>
      </c>
      <c r="H41" s="132">
        <v>1</v>
      </c>
      <c r="I41" s="132">
        <v>2</v>
      </c>
      <c r="J41" s="126" t="str">
        <f t="shared" si="0"/>
        <v/>
      </c>
      <c r="K41" s="132">
        <v>1</v>
      </c>
      <c r="L41" s="132">
        <v>0</v>
      </c>
      <c r="M41" s="126" t="str">
        <f t="shared" si="1"/>
        <v/>
      </c>
      <c r="N41" s="132">
        <v>0</v>
      </c>
      <c r="O41" s="132">
        <v>0</v>
      </c>
      <c r="P41" s="126" t="str">
        <f t="shared" si="2"/>
        <v/>
      </c>
      <c r="Q41" s="132">
        <v>0</v>
      </c>
      <c r="R41" s="132">
        <v>1</v>
      </c>
      <c r="S41" s="126" t="str">
        <f t="shared" si="3"/>
        <v/>
      </c>
      <c r="T41" s="132">
        <v>2</v>
      </c>
      <c r="U41" s="132">
        <v>2</v>
      </c>
      <c r="V41" s="126" t="str">
        <f>IF($G41=1,(IF(AND($C41=$T41,$D41=$U41),3,(IF(AND($C41&gt;$D41,$T41&gt;$U41),1,(IF(AND($D41&gt;$C41,$U41&gt;$T41),1,(IF(AND($C41=$D41,$T41=$U41),1,0)))))))),"")</f>
        <v/>
      </c>
      <c r="W41" s="135"/>
      <c r="X41" s="135"/>
      <c r="Y41" s="136"/>
      <c r="Z41" s="135"/>
      <c r="AA41" s="135"/>
      <c r="AB41" s="136"/>
      <c r="AC41" s="135"/>
      <c r="AD41" s="135"/>
      <c r="AE41" s="136"/>
      <c r="AF41" s="135"/>
      <c r="AG41" s="135"/>
      <c r="AH41" s="136"/>
      <c r="AI41" s="135"/>
      <c r="AJ41" s="135"/>
      <c r="AK41" s="136"/>
      <c r="AL41" s="135"/>
      <c r="AM41" s="135"/>
      <c r="AN41" s="136"/>
      <c r="AO41" s="135"/>
      <c r="AP41" s="135"/>
      <c r="AQ41" s="136"/>
      <c r="AR41" s="135"/>
      <c r="AS41" s="135"/>
      <c r="AT41" s="136"/>
      <c r="AU41" s="135"/>
      <c r="AV41" s="135"/>
      <c r="AW41" s="136"/>
      <c r="AX41" s="135"/>
      <c r="AY41" s="135"/>
      <c r="AZ41" s="136"/>
      <c r="BA41" s="135"/>
      <c r="BB41" s="135"/>
      <c r="BC41" s="136"/>
      <c r="BD41" s="135"/>
      <c r="BE41" s="135"/>
      <c r="BF41" s="136"/>
      <c r="BG41" s="135"/>
      <c r="BH41" s="135"/>
      <c r="BI41" s="136"/>
      <c r="BJ41" s="135"/>
      <c r="BK41" s="135"/>
      <c r="BL41" s="136"/>
      <c r="BM41" s="135"/>
      <c r="BN41" s="135"/>
      <c r="BO41" s="136"/>
      <c r="BP41" s="135"/>
      <c r="BQ41" s="135"/>
      <c r="BR41" s="136"/>
      <c r="BS41" s="135"/>
      <c r="BT41" s="135"/>
      <c r="BU41" s="136"/>
      <c r="BV41" s="135"/>
      <c r="BW41" s="135"/>
      <c r="BX41" s="136"/>
      <c r="BY41" s="135"/>
      <c r="BZ41" s="135"/>
      <c r="CA41" s="136"/>
      <c r="CB41" s="135"/>
      <c r="CC41" s="135"/>
      <c r="CD41" s="136"/>
      <c r="CE41" s="135"/>
      <c r="CF41" s="135"/>
      <c r="CG41" s="136"/>
      <c r="CH41" s="135"/>
      <c r="CI41" s="135"/>
      <c r="CJ41" s="136"/>
      <c r="CK41" s="135"/>
      <c r="CL41" s="135"/>
      <c r="CM41" s="136"/>
      <c r="CN41" s="135"/>
      <c r="CO41" s="135"/>
      <c r="CP41" s="136"/>
      <c r="CQ41" s="135"/>
      <c r="CR41" s="135"/>
      <c r="CS41" s="136"/>
      <c r="CT41" s="135"/>
      <c r="CU41" s="135"/>
      <c r="CV41" s="136"/>
      <c r="CW41" s="135"/>
      <c r="CX41" s="135"/>
      <c r="CY41" s="136"/>
      <c r="CZ41" s="135"/>
      <c r="DA41" s="135"/>
      <c r="DB41" s="136"/>
      <c r="DC41" s="135"/>
      <c r="DD41" s="135"/>
      <c r="DE41" s="136"/>
      <c r="DF41" s="135"/>
      <c r="DG41" s="135"/>
      <c r="DH41" s="136"/>
      <c r="DI41" s="135"/>
      <c r="DJ41" s="135"/>
      <c r="DK41" s="136"/>
      <c r="DL41" s="135"/>
      <c r="DM41" s="135"/>
      <c r="DN41" s="136"/>
      <c r="DO41" s="135"/>
      <c r="DP41" s="135"/>
      <c r="DQ41" s="136"/>
      <c r="DR41" s="135"/>
      <c r="DS41" s="135"/>
      <c r="DT41" s="136"/>
      <c r="DU41" s="135"/>
      <c r="DV41" s="135"/>
      <c r="DW41" s="136"/>
      <c r="DX41" s="135"/>
      <c r="DY41" s="135"/>
      <c r="DZ41" s="136"/>
      <c r="EA41" s="135"/>
      <c r="EB41" s="135"/>
      <c r="EC41" s="136"/>
      <c r="ED41" s="135"/>
      <c r="EE41" s="135"/>
      <c r="EF41" s="136"/>
      <c r="EG41" s="135"/>
      <c r="EH41" s="135"/>
      <c r="EI41" s="136"/>
      <c r="EJ41" s="135"/>
      <c r="EK41" s="135"/>
      <c r="EL41" s="136"/>
      <c r="EM41" s="135"/>
      <c r="EN41" s="135"/>
      <c r="EO41" s="136"/>
    </row>
    <row r="42" spans="2:145" ht="11.25" customHeight="1" x14ac:dyDescent="0.2">
      <c r="B42" s="79" t="s">
        <v>955</v>
      </c>
      <c r="C42" s="125" t="str">
        <f>IF(('Coopa del Mondo 2014'!F47=""), "",'Coopa del Mondo 2014'!F47)</f>
        <v/>
      </c>
      <c r="D42" s="125" t="str">
        <f>IF(('Coopa del Mondo 2014'!G47=""), "",'Coopa del Mondo 2014'!G47)</f>
        <v/>
      </c>
      <c r="E42" s="86" t="s">
        <v>954</v>
      </c>
      <c r="G42">
        <f>IF(ISBLANK('Coopa del Mondo 2014'!F47),0,1)</f>
        <v>0</v>
      </c>
      <c r="H42" s="132">
        <v>0</v>
      </c>
      <c r="I42" s="132">
        <v>2</v>
      </c>
      <c r="J42" s="126" t="str">
        <f t="shared" si="0"/>
        <v/>
      </c>
      <c r="K42" s="132">
        <v>1</v>
      </c>
      <c r="L42" s="132">
        <v>2</v>
      </c>
      <c r="M42" s="126" t="str">
        <f t="shared" si="1"/>
        <v/>
      </c>
      <c r="N42" s="132">
        <v>1</v>
      </c>
      <c r="O42" s="132">
        <v>2</v>
      </c>
      <c r="P42" s="126" t="str">
        <f t="shared" si="2"/>
        <v/>
      </c>
      <c r="Q42" s="132">
        <v>2</v>
      </c>
      <c r="R42" s="132">
        <v>2</v>
      </c>
      <c r="S42" s="126" t="str">
        <f t="shared" si="3"/>
        <v/>
      </c>
      <c r="T42" s="132">
        <v>1</v>
      </c>
      <c r="U42" s="132">
        <v>3</v>
      </c>
      <c r="V42" s="126" t="str">
        <f>IF($G42=1,(IF(AND($C42=$T42,$D42=$U42),3,(IF(AND($C42&gt;$D42,$T42&gt;$U42),1,(IF(AND($D42&gt;$C42,$U42&gt;$T42),1,(IF(AND($C42=$D42,$T42=$U42),1,0)))))))),"")</f>
        <v/>
      </c>
      <c r="W42" s="135"/>
      <c r="X42" s="135"/>
      <c r="Y42" s="136"/>
      <c r="Z42" s="135"/>
      <c r="AA42" s="135"/>
      <c r="AB42" s="136"/>
      <c r="AC42" s="135"/>
      <c r="AD42" s="135"/>
      <c r="AE42" s="136"/>
      <c r="AF42" s="135"/>
      <c r="AG42" s="135"/>
      <c r="AH42" s="136"/>
      <c r="AI42" s="135"/>
      <c r="AJ42" s="135"/>
      <c r="AK42" s="136"/>
      <c r="AL42" s="135"/>
      <c r="AM42" s="135"/>
      <c r="AN42" s="136"/>
      <c r="AO42" s="135"/>
      <c r="AP42" s="135"/>
      <c r="AQ42" s="136"/>
      <c r="AR42" s="135"/>
      <c r="AS42" s="135"/>
      <c r="AT42" s="136"/>
      <c r="AU42" s="135"/>
      <c r="AV42" s="135"/>
      <c r="AW42" s="136"/>
      <c r="AX42" s="135"/>
      <c r="AY42" s="135"/>
      <c r="AZ42" s="136"/>
      <c r="BA42" s="135"/>
      <c r="BB42" s="135"/>
      <c r="BC42" s="136"/>
      <c r="BD42" s="135"/>
      <c r="BE42" s="135"/>
      <c r="BF42" s="136"/>
      <c r="BG42" s="135"/>
      <c r="BH42" s="135"/>
      <c r="BI42" s="136"/>
      <c r="BJ42" s="135"/>
      <c r="BK42" s="135"/>
      <c r="BL42" s="136"/>
      <c r="BM42" s="135"/>
      <c r="BN42" s="135"/>
      <c r="BO42" s="136"/>
      <c r="BP42" s="135"/>
      <c r="BQ42" s="135"/>
      <c r="BR42" s="136"/>
      <c r="BS42" s="135"/>
      <c r="BT42" s="135"/>
      <c r="BU42" s="136"/>
      <c r="BV42" s="135"/>
      <c r="BW42" s="135"/>
      <c r="BX42" s="136"/>
      <c r="BY42" s="135"/>
      <c r="BZ42" s="135"/>
      <c r="CA42" s="136"/>
      <c r="CB42" s="135"/>
      <c r="CC42" s="135"/>
      <c r="CD42" s="136"/>
      <c r="CE42" s="135"/>
      <c r="CF42" s="135"/>
      <c r="CG42" s="136"/>
      <c r="CH42" s="135"/>
      <c r="CI42" s="135"/>
      <c r="CJ42" s="136"/>
      <c r="CK42" s="135"/>
      <c r="CL42" s="135"/>
      <c r="CM42" s="136"/>
      <c r="CN42" s="135"/>
      <c r="CO42" s="135"/>
      <c r="CP42" s="136"/>
      <c r="CQ42" s="135"/>
      <c r="CR42" s="135"/>
      <c r="CS42" s="136"/>
      <c r="CT42" s="135"/>
      <c r="CU42" s="135"/>
      <c r="CV42" s="136"/>
      <c r="CW42" s="135"/>
      <c r="CX42" s="135"/>
      <c r="CY42" s="136"/>
      <c r="CZ42" s="135"/>
      <c r="DA42" s="135"/>
      <c r="DB42" s="136"/>
      <c r="DC42" s="135"/>
      <c r="DD42" s="135"/>
      <c r="DE42" s="136"/>
      <c r="DF42" s="135"/>
      <c r="DG42" s="135"/>
      <c r="DH42" s="136"/>
      <c r="DI42" s="135"/>
      <c r="DJ42" s="135"/>
      <c r="DK42" s="136"/>
      <c r="DL42" s="135"/>
      <c r="DM42" s="135"/>
      <c r="DN42" s="136"/>
      <c r="DO42" s="135"/>
      <c r="DP42" s="135"/>
      <c r="DQ42" s="136"/>
      <c r="DR42" s="135"/>
      <c r="DS42" s="135"/>
      <c r="DT42" s="136"/>
      <c r="DU42" s="135"/>
      <c r="DV42" s="135"/>
      <c r="DW42" s="136"/>
      <c r="DX42" s="135"/>
      <c r="DY42" s="135"/>
      <c r="DZ42" s="136"/>
      <c r="EA42" s="135"/>
      <c r="EB42" s="135"/>
      <c r="EC42" s="136"/>
      <c r="ED42" s="135"/>
      <c r="EE42" s="135"/>
      <c r="EF42" s="136"/>
      <c r="EG42" s="135"/>
      <c r="EH42" s="135"/>
      <c r="EI42" s="136"/>
      <c r="EJ42" s="135"/>
      <c r="EK42" s="135"/>
      <c r="EL42" s="136"/>
      <c r="EM42" s="135"/>
      <c r="EN42" s="135"/>
      <c r="EO42" s="136"/>
    </row>
    <row r="43" spans="2:145" ht="11.25" customHeight="1" x14ac:dyDescent="0.2">
      <c r="B43" s="79" t="s">
        <v>2375</v>
      </c>
      <c r="C43" s="125" t="str">
        <f>IF(('Coopa del Mondo 2014'!F48=""), "",'Coopa del Mondo 2014'!F48)</f>
        <v/>
      </c>
      <c r="D43" s="125" t="str">
        <f>IF(('Coopa del Mondo 2014'!G48=""), "",'Coopa del Mondo 2014'!G48)</f>
        <v/>
      </c>
      <c r="E43" s="86" t="s">
        <v>2259</v>
      </c>
      <c r="G43">
        <f>IF(ISBLANK('Coopa del Mondo 2014'!F48),0,1)</f>
        <v>0</v>
      </c>
      <c r="H43" s="132">
        <v>0</v>
      </c>
      <c r="I43" s="132">
        <v>1</v>
      </c>
      <c r="J43" s="126" t="str">
        <f t="shared" si="0"/>
        <v/>
      </c>
      <c r="K43" s="132">
        <v>2</v>
      </c>
      <c r="L43" s="132">
        <v>0</v>
      </c>
      <c r="M43" s="126" t="str">
        <f t="shared" si="1"/>
        <v/>
      </c>
      <c r="N43" s="132">
        <v>0</v>
      </c>
      <c r="O43" s="132">
        <v>0</v>
      </c>
      <c r="P43" s="126" t="str">
        <f t="shared" si="2"/>
        <v/>
      </c>
      <c r="Q43" s="132">
        <v>1</v>
      </c>
      <c r="R43" s="132">
        <v>0</v>
      </c>
      <c r="S43" s="126" t="str">
        <f t="shared" si="3"/>
        <v/>
      </c>
      <c r="T43" s="132">
        <v>2</v>
      </c>
      <c r="U43" s="132">
        <v>0</v>
      </c>
      <c r="V43" s="126" t="str">
        <f>IF($G43=1,(IF(AND($C43=$T43,$D43=$U43),3,(IF(AND($C43&gt;$D43,$T43&gt;$U43),1,(IF(AND($D43&gt;$C43,$U43&gt;$T43),1,(IF(AND($C43=$D43,$T43=$U43),1,0)))))))),"")</f>
        <v/>
      </c>
      <c r="W43" s="135"/>
      <c r="X43" s="135"/>
      <c r="Y43" s="136"/>
      <c r="Z43" s="135"/>
      <c r="AA43" s="135"/>
      <c r="AB43" s="136"/>
      <c r="AC43" s="135"/>
      <c r="AD43" s="135"/>
      <c r="AE43" s="136"/>
      <c r="AF43" s="135"/>
      <c r="AG43" s="135"/>
      <c r="AH43" s="136"/>
      <c r="AI43" s="135"/>
      <c r="AJ43" s="135"/>
      <c r="AK43" s="136"/>
      <c r="AL43" s="135"/>
      <c r="AM43" s="135"/>
      <c r="AN43" s="136"/>
      <c r="AO43" s="135"/>
      <c r="AP43" s="135"/>
      <c r="AQ43" s="136"/>
      <c r="AR43" s="135"/>
      <c r="AS43" s="135"/>
      <c r="AT43" s="136"/>
      <c r="AU43" s="135"/>
      <c r="AV43" s="135"/>
      <c r="AW43" s="136"/>
      <c r="AX43" s="135"/>
      <c r="AY43" s="135"/>
      <c r="AZ43" s="136"/>
      <c r="BA43" s="135"/>
      <c r="BB43" s="135"/>
      <c r="BC43" s="136"/>
      <c r="BD43" s="135"/>
      <c r="BE43" s="135"/>
      <c r="BF43" s="136"/>
      <c r="BG43" s="135"/>
      <c r="BH43" s="135"/>
      <c r="BI43" s="136"/>
      <c r="BJ43" s="135"/>
      <c r="BK43" s="135"/>
      <c r="BL43" s="136"/>
      <c r="BM43" s="135"/>
      <c r="BN43" s="135"/>
      <c r="BO43" s="136"/>
      <c r="BP43" s="135"/>
      <c r="BQ43" s="135"/>
      <c r="BR43" s="136"/>
      <c r="BS43" s="135"/>
      <c r="BT43" s="135"/>
      <c r="BU43" s="136"/>
      <c r="BV43" s="135"/>
      <c r="BW43" s="135"/>
      <c r="BX43" s="136"/>
      <c r="BY43" s="135"/>
      <c r="BZ43" s="135"/>
      <c r="CA43" s="136"/>
      <c r="CB43" s="135"/>
      <c r="CC43" s="135"/>
      <c r="CD43" s="136"/>
      <c r="CE43" s="135"/>
      <c r="CF43" s="135"/>
      <c r="CG43" s="136"/>
      <c r="CH43" s="135"/>
      <c r="CI43" s="135"/>
      <c r="CJ43" s="136"/>
      <c r="CK43" s="135"/>
      <c r="CL43" s="135"/>
      <c r="CM43" s="136"/>
      <c r="CN43" s="135"/>
      <c r="CO43" s="135"/>
      <c r="CP43" s="136"/>
      <c r="CQ43" s="135"/>
      <c r="CR43" s="135"/>
      <c r="CS43" s="136"/>
      <c r="CT43" s="135"/>
      <c r="CU43" s="135"/>
      <c r="CV43" s="136"/>
      <c r="CW43" s="135"/>
      <c r="CX43" s="135"/>
      <c r="CY43" s="136"/>
      <c r="CZ43" s="135"/>
      <c r="DA43" s="135"/>
      <c r="DB43" s="136"/>
      <c r="DC43" s="135"/>
      <c r="DD43" s="135"/>
      <c r="DE43" s="136"/>
      <c r="DF43" s="135"/>
      <c r="DG43" s="135"/>
      <c r="DH43" s="136"/>
      <c r="DI43" s="135"/>
      <c r="DJ43" s="135"/>
      <c r="DK43" s="136"/>
      <c r="DL43" s="135"/>
      <c r="DM43" s="135"/>
      <c r="DN43" s="136"/>
      <c r="DO43" s="135"/>
      <c r="DP43" s="135"/>
      <c r="DQ43" s="136"/>
      <c r="DR43" s="135"/>
      <c r="DS43" s="135"/>
      <c r="DT43" s="136"/>
      <c r="DU43" s="135"/>
      <c r="DV43" s="135"/>
      <c r="DW43" s="136"/>
      <c r="DX43" s="135"/>
      <c r="DY43" s="135"/>
      <c r="DZ43" s="136"/>
      <c r="EA43" s="135"/>
      <c r="EB43" s="135"/>
      <c r="EC43" s="136"/>
      <c r="ED43" s="135"/>
      <c r="EE43" s="135"/>
      <c r="EF43" s="136"/>
      <c r="EG43" s="135"/>
      <c r="EH43" s="135"/>
      <c r="EI43" s="136"/>
      <c r="EJ43" s="135"/>
      <c r="EK43" s="135"/>
      <c r="EL43" s="136"/>
      <c r="EM43" s="135"/>
      <c r="EN43" s="135"/>
      <c r="EO43" s="136"/>
    </row>
    <row r="44" spans="2:145" ht="11.25" customHeight="1" x14ac:dyDescent="0.2">
      <c r="B44" s="79" t="s">
        <v>971</v>
      </c>
      <c r="C44" s="125" t="str">
        <f>IF(('Coopa del Mondo 2014'!F49=""), "",'Coopa del Mondo 2014'!F49)</f>
        <v/>
      </c>
      <c r="D44" s="125" t="str">
        <f>IF(('Coopa del Mondo 2014'!G49=""), "",'Coopa del Mondo 2014'!G49)</f>
        <v/>
      </c>
      <c r="E44" s="86" t="s">
        <v>1475</v>
      </c>
      <c r="G44">
        <f>IF(ISBLANK('Coopa del Mondo 2014'!F49),0,1)</f>
        <v>0</v>
      </c>
      <c r="H44" s="132">
        <v>0</v>
      </c>
      <c r="I44" s="132">
        <v>0</v>
      </c>
      <c r="J44" s="126" t="str">
        <f t="shared" si="0"/>
        <v/>
      </c>
      <c r="K44" s="132">
        <v>0</v>
      </c>
      <c r="L44" s="132">
        <v>2</v>
      </c>
      <c r="M44" s="126" t="str">
        <f t="shared" si="1"/>
        <v/>
      </c>
      <c r="N44" s="132">
        <v>1</v>
      </c>
      <c r="O44" s="132">
        <v>1</v>
      </c>
      <c r="P44" s="126" t="str">
        <f t="shared" si="2"/>
        <v/>
      </c>
      <c r="Q44" s="132">
        <v>2</v>
      </c>
      <c r="R44" s="132">
        <v>0</v>
      </c>
      <c r="S44" s="126" t="str">
        <f t="shared" si="3"/>
        <v/>
      </c>
      <c r="T44" s="132">
        <v>0</v>
      </c>
      <c r="U44" s="132">
        <v>1</v>
      </c>
      <c r="V44" s="126" t="str">
        <f>IF($G44=1,(IF(AND($C44=$T44,$D44=$U44),3,(IF(AND($C44&gt;$D44,$T44&gt;$U44),1,(IF(AND($D44&gt;$C44,$U44&gt;$T44),1,(IF(AND($C44=$D44,$T44=$U44),1,0)))))))),"")</f>
        <v/>
      </c>
      <c r="W44" s="135"/>
      <c r="X44" s="135"/>
      <c r="Y44" s="136"/>
      <c r="Z44" s="135"/>
      <c r="AA44" s="135"/>
      <c r="AB44" s="136"/>
      <c r="AC44" s="135"/>
      <c r="AD44" s="135"/>
      <c r="AE44" s="136"/>
      <c r="AF44" s="135"/>
      <c r="AG44" s="135"/>
      <c r="AH44" s="136"/>
      <c r="AI44" s="135"/>
      <c r="AJ44" s="135"/>
      <c r="AK44" s="136"/>
      <c r="AL44" s="135"/>
      <c r="AM44" s="135"/>
      <c r="AN44" s="136"/>
      <c r="AO44" s="135"/>
      <c r="AP44" s="135"/>
      <c r="AQ44" s="136"/>
      <c r="AR44" s="135"/>
      <c r="AS44" s="135"/>
      <c r="AT44" s="136"/>
      <c r="AU44" s="135"/>
      <c r="AV44" s="135"/>
      <c r="AW44" s="136"/>
      <c r="AX44" s="135"/>
      <c r="AY44" s="135"/>
      <c r="AZ44" s="136"/>
      <c r="BA44" s="135"/>
      <c r="BB44" s="135"/>
      <c r="BC44" s="136"/>
      <c r="BD44" s="135"/>
      <c r="BE44" s="135"/>
      <c r="BF44" s="136"/>
      <c r="BG44" s="135"/>
      <c r="BH44" s="135"/>
      <c r="BI44" s="136"/>
      <c r="BJ44" s="135"/>
      <c r="BK44" s="135"/>
      <c r="BL44" s="136"/>
      <c r="BM44" s="135"/>
      <c r="BN44" s="135"/>
      <c r="BO44" s="136"/>
      <c r="BP44" s="135"/>
      <c r="BQ44" s="135"/>
      <c r="BR44" s="136"/>
      <c r="BS44" s="135"/>
      <c r="BT44" s="135"/>
      <c r="BU44" s="136"/>
      <c r="BV44" s="135"/>
      <c r="BW44" s="135"/>
      <c r="BX44" s="136"/>
      <c r="BY44" s="135"/>
      <c r="BZ44" s="135"/>
      <c r="CA44" s="136"/>
      <c r="CB44" s="135"/>
      <c r="CC44" s="135"/>
      <c r="CD44" s="136"/>
      <c r="CE44" s="135"/>
      <c r="CF44" s="135"/>
      <c r="CG44" s="136"/>
      <c r="CH44" s="135"/>
      <c r="CI44" s="135"/>
      <c r="CJ44" s="136"/>
      <c r="CK44" s="135"/>
      <c r="CL44" s="135"/>
      <c r="CM44" s="136"/>
      <c r="CN44" s="135"/>
      <c r="CO44" s="135"/>
      <c r="CP44" s="136"/>
      <c r="CQ44" s="135"/>
      <c r="CR44" s="135"/>
      <c r="CS44" s="136"/>
      <c r="CT44" s="135"/>
      <c r="CU44" s="135"/>
      <c r="CV44" s="136"/>
      <c r="CW44" s="135"/>
      <c r="CX44" s="135"/>
      <c r="CY44" s="136"/>
      <c r="CZ44" s="135"/>
      <c r="DA44" s="135"/>
      <c r="DB44" s="136"/>
      <c r="DC44" s="135"/>
      <c r="DD44" s="135"/>
      <c r="DE44" s="136"/>
      <c r="DF44" s="135"/>
      <c r="DG44" s="135"/>
      <c r="DH44" s="136"/>
      <c r="DI44" s="135"/>
      <c r="DJ44" s="135"/>
      <c r="DK44" s="136"/>
      <c r="DL44" s="135"/>
      <c r="DM44" s="135"/>
      <c r="DN44" s="136"/>
      <c r="DO44" s="135"/>
      <c r="DP44" s="135"/>
      <c r="DQ44" s="136"/>
      <c r="DR44" s="135"/>
      <c r="DS44" s="135"/>
      <c r="DT44" s="136"/>
      <c r="DU44" s="135"/>
      <c r="DV44" s="135"/>
      <c r="DW44" s="136"/>
      <c r="DX44" s="135"/>
      <c r="DY44" s="135"/>
      <c r="DZ44" s="136"/>
      <c r="EA44" s="135"/>
      <c r="EB44" s="135"/>
      <c r="EC44" s="136"/>
      <c r="ED44" s="135"/>
      <c r="EE44" s="135"/>
      <c r="EF44" s="136"/>
      <c r="EG44" s="135"/>
      <c r="EH44" s="135"/>
      <c r="EI44" s="136"/>
      <c r="EJ44" s="135"/>
      <c r="EK44" s="135"/>
      <c r="EL44" s="136"/>
      <c r="EM44" s="135"/>
      <c r="EN44" s="135"/>
      <c r="EO44" s="136"/>
    </row>
    <row r="45" spans="2:145" ht="11.25" customHeight="1" x14ac:dyDescent="0.2">
      <c r="B45" s="79" t="s">
        <v>2257</v>
      </c>
      <c r="C45" s="125" t="str">
        <f>IF(('Coopa del Mondo 2014'!F50=""), "",'Coopa del Mondo 2014'!F50)</f>
        <v/>
      </c>
      <c r="D45" s="125" t="str">
        <f>IF(('Coopa del Mondo 2014'!G50=""), "",'Coopa del Mondo 2014'!G50)</f>
        <v/>
      </c>
      <c r="E45" s="86" t="s">
        <v>1013</v>
      </c>
      <c r="G45">
        <f>IF(ISBLANK('Coopa del Mondo 2014'!F50),0,1)</f>
        <v>0</v>
      </c>
      <c r="H45" s="132">
        <v>1</v>
      </c>
      <c r="I45" s="132">
        <v>3</v>
      </c>
      <c r="J45" s="126" t="str">
        <f t="shared" si="0"/>
        <v/>
      </c>
      <c r="K45" s="132">
        <v>0</v>
      </c>
      <c r="L45" s="132">
        <v>1</v>
      </c>
      <c r="M45" s="126" t="str">
        <f t="shared" si="1"/>
        <v/>
      </c>
      <c r="N45" s="132">
        <v>0</v>
      </c>
      <c r="O45" s="132">
        <v>2</v>
      </c>
      <c r="P45" s="126" t="str">
        <f t="shared" si="2"/>
        <v/>
      </c>
      <c r="Q45" s="132">
        <v>0</v>
      </c>
      <c r="R45" s="132">
        <v>3</v>
      </c>
      <c r="S45" s="126" t="str">
        <f t="shared" si="3"/>
        <v/>
      </c>
      <c r="T45" s="132">
        <v>1</v>
      </c>
      <c r="U45" s="132">
        <v>1</v>
      </c>
      <c r="V45" s="126" t="str">
        <f>IF($G45=1,(IF(AND($C45=$T45,$D45=$U45),3,(IF(AND($C45&gt;$D45,$T45&gt;$U45),1,(IF(AND($D45&gt;$C45,$U45&gt;$T45),1,(IF(AND($C45=$D45,$T45=$U45),1,0)))))))),"")</f>
        <v/>
      </c>
      <c r="W45" s="135"/>
      <c r="X45" s="135"/>
      <c r="Y45" s="136"/>
      <c r="Z45" s="135"/>
      <c r="AA45" s="135"/>
      <c r="AB45" s="136"/>
      <c r="AC45" s="135"/>
      <c r="AD45" s="135"/>
      <c r="AE45" s="136"/>
      <c r="AF45" s="135"/>
      <c r="AG45" s="135"/>
      <c r="AH45" s="136"/>
      <c r="AI45" s="135"/>
      <c r="AJ45" s="135"/>
      <c r="AK45" s="136"/>
      <c r="AL45" s="135"/>
      <c r="AM45" s="135"/>
      <c r="AN45" s="136"/>
      <c r="AO45" s="135"/>
      <c r="AP45" s="135"/>
      <c r="AQ45" s="136"/>
      <c r="AR45" s="135"/>
      <c r="AS45" s="135"/>
      <c r="AT45" s="136"/>
      <c r="AU45" s="135"/>
      <c r="AV45" s="135"/>
      <c r="AW45" s="136"/>
      <c r="AX45" s="135"/>
      <c r="AY45" s="135"/>
      <c r="AZ45" s="136"/>
      <c r="BA45" s="135"/>
      <c r="BB45" s="135"/>
      <c r="BC45" s="136"/>
      <c r="BD45" s="135"/>
      <c r="BE45" s="135"/>
      <c r="BF45" s="136"/>
      <c r="BG45" s="135"/>
      <c r="BH45" s="135"/>
      <c r="BI45" s="136"/>
      <c r="BJ45" s="135"/>
      <c r="BK45" s="135"/>
      <c r="BL45" s="136"/>
      <c r="BM45" s="135"/>
      <c r="BN45" s="135"/>
      <c r="BO45" s="136"/>
      <c r="BP45" s="135"/>
      <c r="BQ45" s="135"/>
      <c r="BR45" s="136"/>
      <c r="BS45" s="135"/>
      <c r="BT45" s="135"/>
      <c r="BU45" s="136"/>
      <c r="BV45" s="135"/>
      <c r="BW45" s="135"/>
      <c r="BX45" s="136"/>
      <c r="BY45" s="135"/>
      <c r="BZ45" s="135"/>
      <c r="CA45" s="136"/>
      <c r="CB45" s="135"/>
      <c r="CC45" s="135"/>
      <c r="CD45" s="136"/>
      <c r="CE45" s="135"/>
      <c r="CF45" s="135"/>
      <c r="CG45" s="136"/>
      <c r="CH45" s="135"/>
      <c r="CI45" s="135"/>
      <c r="CJ45" s="136"/>
      <c r="CK45" s="135"/>
      <c r="CL45" s="135"/>
      <c r="CM45" s="136"/>
      <c r="CN45" s="135"/>
      <c r="CO45" s="135"/>
      <c r="CP45" s="136"/>
      <c r="CQ45" s="135"/>
      <c r="CR45" s="135"/>
      <c r="CS45" s="136"/>
      <c r="CT45" s="135"/>
      <c r="CU45" s="135"/>
      <c r="CV45" s="136"/>
      <c r="CW45" s="135"/>
      <c r="CX45" s="135"/>
      <c r="CY45" s="136"/>
      <c r="CZ45" s="135"/>
      <c r="DA45" s="135"/>
      <c r="DB45" s="136"/>
      <c r="DC45" s="135"/>
      <c r="DD45" s="135"/>
      <c r="DE45" s="136"/>
      <c r="DF45" s="135"/>
      <c r="DG45" s="135"/>
      <c r="DH45" s="136"/>
      <c r="DI45" s="135"/>
      <c r="DJ45" s="135"/>
      <c r="DK45" s="136"/>
      <c r="DL45" s="135"/>
      <c r="DM45" s="135"/>
      <c r="DN45" s="136"/>
      <c r="DO45" s="135"/>
      <c r="DP45" s="135"/>
      <c r="DQ45" s="136"/>
      <c r="DR45" s="135"/>
      <c r="DS45" s="135"/>
      <c r="DT45" s="136"/>
      <c r="DU45" s="135"/>
      <c r="DV45" s="135"/>
      <c r="DW45" s="136"/>
      <c r="DX45" s="135"/>
      <c r="DY45" s="135"/>
      <c r="DZ45" s="136"/>
      <c r="EA45" s="135"/>
      <c r="EB45" s="135"/>
      <c r="EC45" s="136"/>
      <c r="ED45" s="135"/>
      <c r="EE45" s="135"/>
      <c r="EF45" s="136"/>
      <c r="EG45" s="135"/>
      <c r="EH45" s="135"/>
      <c r="EI45" s="136"/>
      <c r="EJ45" s="135"/>
      <c r="EK45" s="135"/>
      <c r="EL45" s="136"/>
      <c r="EM45" s="135"/>
      <c r="EN45" s="135"/>
      <c r="EO45" s="136"/>
    </row>
    <row r="46" spans="2:145" ht="11.25" customHeight="1" x14ac:dyDescent="0.2">
      <c r="B46" s="79" t="s">
        <v>2240</v>
      </c>
      <c r="C46" s="125" t="str">
        <f>IF(('Coopa del Mondo 2014'!F51=""), "",'Coopa del Mondo 2014'!F51)</f>
        <v/>
      </c>
      <c r="D46" s="125" t="str">
        <f>IF(('Coopa del Mondo 2014'!G51=""), "",'Coopa del Mondo 2014'!G51)</f>
        <v/>
      </c>
      <c r="E46" s="86" t="s">
        <v>1469</v>
      </c>
      <c r="G46">
        <f>IF(ISBLANK('Coopa del Mondo 2014'!F51),0,1)</f>
        <v>0</v>
      </c>
      <c r="H46" s="132">
        <v>0</v>
      </c>
      <c r="I46" s="132">
        <v>4</v>
      </c>
      <c r="J46" s="126" t="str">
        <f t="shared" si="0"/>
        <v/>
      </c>
      <c r="K46" s="132">
        <v>1</v>
      </c>
      <c r="L46" s="132">
        <v>3</v>
      </c>
      <c r="M46" s="126" t="str">
        <f t="shared" si="1"/>
        <v/>
      </c>
      <c r="N46" s="132">
        <v>1</v>
      </c>
      <c r="O46" s="132">
        <v>2</v>
      </c>
      <c r="P46" s="126" t="str">
        <f t="shared" si="2"/>
        <v/>
      </c>
      <c r="Q46" s="132">
        <v>1</v>
      </c>
      <c r="R46" s="132">
        <v>2</v>
      </c>
      <c r="S46" s="126" t="str">
        <f t="shared" si="3"/>
        <v/>
      </c>
      <c r="T46" s="132">
        <v>1</v>
      </c>
      <c r="U46" s="132">
        <v>2</v>
      </c>
      <c r="V46" s="126" t="str">
        <f>IF($G46=1,(IF(AND($C46=$T46,$D46=$U46),3,(IF(AND($C46&gt;$D46,$T46&gt;$U46),1,(IF(AND($D46&gt;$C46,$U46&gt;$T46),1,(IF(AND($C46=$D46,$T46=$U46),1,0)))))))),"")</f>
        <v/>
      </c>
      <c r="W46" s="135"/>
      <c r="X46" s="135"/>
      <c r="Y46" s="136"/>
      <c r="Z46" s="135"/>
      <c r="AA46" s="135"/>
      <c r="AB46" s="136"/>
      <c r="AC46" s="135"/>
      <c r="AD46" s="135"/>
      <c r="AE46" s="136"/>
      <c r="AF46" s="135"/>
      <c r="AG46" s="135"/>
      <c r="AH46" s="136"/>
      <c r="AI46" s="135"/>
      <c r="AJ46" s="135"/>
      <c r="AK46" s="136"/>
      <c r="AL46" s="135"/>
      <c r="AM46" s="135"/>
      <c r="AN46" s="136"/>
      <c r="AO46" s="135"/>
      <c r="AP46" s="135"/>
      <c r="AQ46" s="136"/>
      <c r="AR46" s="135"/>
      <c r="AS46" s="135"/>
      <c r="AT46" s="136"/>
      <c r="AU46" s="135"/>
      <c r="AV46" s="135"/>
      <c r="AW46" s="136"/>
      <c r="AX46" s="135"/>
      <c r="AY46" s="135"/>
      <c r="AZ46" s="136"/>
      <c r="BA46" s="135"/>
      <c r="BB46" s="135"/>
      <c r="BC46" s="136"/>
      <c r="BD46" s="135"/>
      <c r="BE46" s="135"/>
      <c r="BF46" s="136"/>
      <c r="BG46" s="135"/>
      <c r="BH46" s="135"/>
      <c r="BI46" s="136"/>
      <c r="BJ46" s="135"/>
      <c r="BK46" s="135"/>
      <c r="BL46" s="136"/>
      <c r="BM46" s="135"/>
      <c r="BN46" s="135"/>
      <c r="BO46" s="136"/>
      <c r="BP46" s="135"/>
      <c r="BQ46" s="135"/>
      <c r="BR46" s="136"/>
      <c r="BS46" s="135"/>
      <c r="BT46" s="135"/>
      <c r="BU46" s="136"/>
      <c r="BV46" s="135"/>
      <c r="BW46" s="135"/>
      <c r="BX46" s="136"/>
      <c r="BY46" s="135"/>
      <c r="BZ46" s="135"/>
      <c r="CA46" s="136"/>
      <c r="CB46" s="135"/>
      <c r="CC46" s="135"/>
      <c r="CD46" s="136"/>
      <c r="CE46" s="135"/>
      <c r="CF46" s="135"/>
      <c r="CG46" s="136"/>
      <c r="CH46" s="135"/>
      <c r="CI46" s="135"/>
      <c r="CJ46" s="136"/>
      <c r="CK46" s="135"/>
      <c r="CL46" s="135"/>
      <c r="CM46" s="136"/>
      <c r="CN46" s="135"/>
      <c r="CO46" s="135"/>
      <c r="CP46" s="136"/>
      <c r="CQ46" s="135"/>
      <c r="CR46" s="135"/>
      <c r="CS46" s="136"/>
      <c r="CT46" s="135"/>
      <c r="CU46" s="135"/>
      <c r="CV46" s="136"/>
      <c r="CW46" s="135"/>
      <c r="CX46" s="135"/>
      <c r="CY46" s="136"/>
      <c r="CZ46" s="135"/>
      <c r="DA46" s="135"/>
      <c r="DB46" s="136"/>
      <c r="DC46" s="135"/>
      <c r="DD46" s="135"/>
      <c r="DE46" s="136"/>
      <c r="DF46" s="135"/>
      <c r="DG46" s="135"/>
      <c r="DH46" s="136"/>
      <c r="DI46" s="135"/>
      <c r="DJ46" s="135"/>
      <c r="DK46" s="136"/>
      <c r="DL46" s="135"/>
      <c r="DM46" s="135"/>
      <c r="DN46" s="136"/>
      <c r="DO46" s="135"/>
      <c r="DP46" s="135"/>
      <c r="DQ46" s="136"/>
      <c r="DR46" s="135"/>
      <c r="DS46" s="135"/>
      <c r="DT46" s="136"/>
      <c r="DU46" s="135"/>
      <c r="DV46" s="135"/>
      <c r="DW46" s="136"/>
      <c r="DX46" s="135"/>
      <c r="DY46" s="135"/>
      <c r="DZ46" s="136"/>
      <c r="EA46" s="135"/>
      <c r="EB46" s="135"/>
      <c r="EC46" s="136"/>
      <c r="ED46" s="135"/>
      <c r="EE46" s="135"/>
      <c r="EF46" s="136"/>
      <c r="EG46" s="135"/>
      <c r="EH46" s="135"/>
      <c r="EI46" s="136"/>
      <c r="EJ46" s="135"/>
      <c r="EK46" s="135"/>
      <c r="EL46" s="136"/>
      <c r="EM46" s="135"/>
      <c r="EN46" s="135"/>
      <c r="EO46" s="136"/>
    </row>
    <row r="47" spans="2:145" ht="11.25" customHeight="1" x14ac:dyDescent="0.2">
      <c r="B47" s="79" t="s">
        <v>1473</v>
      </c>
      <c r="C47" s="125" t="str">
        <f>IF(('Coopa del Mondo 2014'!F52=""), "",'Coopa del Mondo 2014'!F52)</f>
        <v/>
      </c>
      <c r="D47" s="125" t="str">
        <f>IF(('Coopa del Mondo 2014'!G52=""), "",'Coopa del Mondo 2014'!G52)</f>
        <v/>
      </c>
      <c r="E47" s="86" t="s">
        <v>962</v>
      </c>
      <c r="G47">
        <f>IF(ISBLANK('Coopa del Mondo 2014'!F52),0,1)</f>
        <v>0</v>
      </c>
      <c r="H47" s="132">
        <v>3</v>
      </c>
      <c r="I47" s="132">
        <v>0</v>
      </c>
      <c r="J47" s="126" t="str">
        <f t="shared" si="0"/>
        <v/>
      </c>
      <c r="K47" s="132">
        <v>3</v>
      </c>
      <c r="L47" s="132">
        <v>0</v>
      </c>
      <c r="M47" s="126" t="str">
        <f t="shared" si="1"/>
        <v/>
      </c>
      <c r="N47" s="132">
        <v>1</v>
      </c>
      <c r="O47" s="132">
        <v>1</v>
      </c>
      <c r="P47" s="126" t="str">
        <f t="shared" si="2"/>
        <v/>
      </c>
      <c r="Q47" s="132">
        <v>2</v>
      </c>
      <c r="R47" s="132">
        <v>1</v>
      </c>
      <c r="S47" s="126" t="str">
        <f t="shared" si="3"/>
        <v/>
      </c>
      <c r="T47" s="132">
        <v>2</v>
      </c>
      <c r="U47" s="132">
        <v>2</v>
      </c>
      <c r="V47" s="126" t="str">
        <f>IF($G47=1,(IF(AND($C47=$T47,$D47=$U47),3,(IF(AND($C47&gt;$D47,$T47&gt;$U47),1,(IF(AND($D47&gt;$C47,$U47&gt;$T47),1,(IF(AND($C47=$D47,$T47=$U47),1,0)))))))),"")</f>
        <v/>
      </c>
      <c r="W47" s="135"/>
      <c r="X47" s="135"/>
      <c r="Y47" s="136"/>
      <c r="Z47" s="135"/>
      <c r="AA47" s="135"/>
      <c r="AB47" s="136"/>
      <c r="AC47" s="135"/>
      <c r="AD47" s="135"/>
      <c r="AE47" s="136"/>
      <c r="AF47" s="135"/>
      <c r="AG47" s="135"/>
      <c r="AH47" s="136"/>
      <c r="AI47" s="135"/>
      <c r="AJ47" s="135"/>
      <c r="AK47" s="136"/>
      <c r="AL47" s="135"/>
      <c r="AM47" s="135"/>
      <c r="AN47" s="136"/>
      <c r="AO47" s="135"/>
      <c r="AP47" s="135"/>
      <c r="AQ47" s="136"/>
      <c r="AR47" s="135"/>
      <c r="AS47" s="135"/>
      <c r="AT47" s="136"/>
      <c r="AU47" s="135"/>
      <c r="AV47" s="135"/>
      <c r="AW47" s="136"/>
      <c r="AX47" s="135"/>
      <c r="AY47" s="135"/>
      <c r="AZ47" s="136"/>
      <c r="BA47" s="135"/>
      <c r="BB47" s="135"/>
      <c r="BC47" s="136"/>
      <c r="BD47" s="135"/>
      <c r="BE47" s="135"/>
      <c r="BF47" s="136"/>
      <c r="BG47" s="135"/>
      <c r="BH47" s="135"/>
      <c r="BI47" s="136"/>
      <c r="BJ47" s="135"/>
      <c r="BK47" s="135"/>
      <c r="BL47" s="136"/>
      <c r="BM47" s="135"/>
      <c r="BN47" s="135"/>
      <c r="BO47" s="136"/>
      <c r="BP47" s="135"/>
      <c r="BQ47" s="135"/>
      <c r="BR47" s="136"/>
      <c r="BS47" s="135"/>
      <c r="BT47" s="135"/>
      <c r="BU47" s="136"/>
      <c r="BV47" s="135"/>
      <c r="BW47" s="135"/>
      <c r="BX47" s="136"/>
      <c r="BY47" s="135"/>
      <c r="BZ47" s="135"/>
      <c r="CA47" s="136"/>
      <c r="CB47" s="135"/>
      <c r="CC47" s="135"/>
      <c r="CD47" s="136"/>
      <c r="CE47" s="135"/>
      <c r="CF47" s="135"/>
      <c r="CG47" s="136"/>
      <c r="CH47" s="135"/>
      <c r="CI47" s="135"/>
      <c r="CJ47" s="136"/>
      <c r="CK47" s="135"/>
      <c r="CL47" s="135"/>
      <c r="CM47" s="136"/>
      <c r="CN47" s="135"/>
      <c r="CO47" s="135"/>
      <c r="CP47" s="136"/>
      <c r="CQ47" s="135"/>
      <c r="CR47" s="135"/>
      <c r="CS47" s="136"/>
      <c r="CT47" s="135"/>
      <c r="CU47" s="135"/>
      <c r="CV47" s="136"/>
      <c r="CW47" s="135"/>
      <c r="CX47" s="135"/>
      <c r="CY47" s="136"/>
      <c r="CZ47" s="135"/>
      <c r="DA47" s="135"/>
      <c r="DB47" s="136"/>
      <c r="DC47" s="135"/>
      <c r="DD47" s="135"/>
      <c r="DE47" s="136"/>
      <c r="DF47" s="135"/>
      <c r="DG47" s="135"/>
      <c r="DH47" s="136"/>
      <c r="DI47" s="135"/>
      <c r="DJ47" s="135"/>
      <c r="DK47" s="136"/>
      <c r="DL47" s="135"/>
      <c r="DM47" s="135"/>
      <c r="DN47" s="136"/>
      <c r="DO47" s="135"/>
      <c r="DP47" s="135"/>
      <c r="DQ47" s="136"/>
      <c r="DR47" s="135"/>
      <c r="DS47" s="135"/>
      <c r="DT47" s="136"/>
      <c r="DU47" s="135"/>
      <c r="DV47" s="135"/>
      <c r="DW47" s="136"/>
      <c r="DX47" s="135"/>
      <c r="DY47" s="135"/>
      <c r="DZ47" s="136"/>
      <c r="EA47" s="135"/>
      <c r="EB47" s="135"/>
      <c r="EC47" s="136"/>
      <c r="ED47" s="135"/>
      <c r="EE47" s="135"/>
      <c r="EF47" s="136"/>
      <c r="EG47" s="135"/>
      <c r="EH47" s="135"/>
      <c r="EI47" s="136"/>
      <c r="EJ47" s="135"/>
      <c r="EK47" s="135"/>
      <c r="EL47" s="136"/>
      <c r="EM47" s="135"/>
      <c r="EN47" s="135"/>
      <c r="EO47" s="136"/>
    </row>
    <row r="48" spans="2:145" ht="11.25" customHeight="1" x14ac:dyDescent="0.2">
      <c r="B48" s="79" t="s">
        <v>1356</v>
      </c>
      <c r="C48" s="125" t="str">
        <f>IF(('Coopa del Mondo 2014'!F53=""), "",'Coopa del Mondo 2014'!F53)</f>
        <v/>
      </c>
      <c r="D48" s="125" t="str">
        <f>IF(('Coopa del Mondo 2014'!G53=""), "",'Coopa del Mondo 2014'!G53)</f>
        <v/>
      </c>
      <c r="E48" s="86" t="s">
        <v>2424</v>
      </c>
      <c r="G48">
        <f>IF(ISBLANK('Coopa del Mondo 2014'!F53),0,1)</f>
        <v>0</v>
      </c>
      <c r="H48" s="132">
        <v>1</v>
      </c>
      <c r="I48" s="132">
        <v>2</v>
      </c>
      <c r="J48" s="126" t="str">
        <f t="shared" si="0"/>
        <v/>
      </c>
      <c r="K48" s="132">
        <v>0</v>
      </c>
      <c r="L48" s="132">
        <v>2</v>
      </c>
      <c r="M48" s="126" t="str">
        <f t="shared" si="1"/>
        <v/>
      </c>
      <c r="N48" s="132">
        <v>2</v>
      </c>
      <c r="O48" s="132">
        <v>2</v>
      </c>
      <c r="P48" s="126" t="str">
        <f t="shared" si="2"/>
        <v/>
      </c>
      <c r="Q48" s="132">
        <v>0</v>
      </c>
      <c r="R48" s="132">
        <v>0</v>
      </c>
      <c r="S48" s="126" t="str">
        <f t="shared" si="3"/>
        <v/>
      </c>
      <c r="T48" s="132">
        <v>1</v>
      </c>
      <c r="U48" s="132">
        <v>2</v>
      </c>
      <c r="V48" s="126" t="str">
        <f>IF($G48=1,(IF(AND($C48=$T48,$D48=$U48),3,(IF(AND($C48&gt;$D48,$T48&gt;$U48),1,(IF(AND($D48&gt;$C48,$U48&gt;$T48),1,(IF(AND($C48=$D48,$T48=$U48),1,0)))))))),"")</f>
        <v/>
      </c>
      <c r="W48" s="135"/>
      <c r="X48" s="135"/>
      <c r="Y48" s="136"/>
      <c r="Z48" s="135"/>
      <c r="AA48" s="135"/>
      <c r="AB48" s="136"/>
      <c r="AC48" s="135"/>
      <c r="AD48" s="135"/>
      <c r="AE48" s="136"/>
      <c r="AF48" s="135"/>
      <c r="AG48" s="135"/>
      <c r="AH48" s="136"/>
      <c r="AI48" s="135"/>
      <c r="AJ48" s="135"/>
      <c r="AK48" s="136"/>
      <c r="AL48" s="135"/>
      <c r="AM48" s="135"/>
      <c r="AN48" s="136"/>
      <c r="AO48" s="135"/>
      <c r="AP48" s="135"/>
      <c r="AQ48" s="136"/>
      <c r="AR48" s="135"/>
      <c r="AS48" s="135"/>
      <c r="AT48" s="136"/>
      <c r="AU48" s="135"/>
      <c r="AV48" s="135"/>
      <c r="AW48" s="136"/>
      <c r="AX48" s="135"/>
      <c r="AY48" s="135"/>
      <c r="AZ48" s="136"/>
      <c r="BA48" s="135"/>
      <c r="BB48" s="135"/>
      <c r="BC48" s="136"/>
      <c r="BD48" s="135"/>
      <c r="BE48" s="135"/>
      <c r="BF48" s="136"/>
      <c r="BG48" s="135"/>
      <c r="BH48" s="135"/>
      <c r="BI48" s="136"/>
      <c r="BJ48" s="135"/>
      <c r="BK48" s="135"/>
      <c r="BL48" s="136"/>
      <c r="BM48" s="135"/>
      <c r="BN48" s="135"/>
      <c r="BO48" s="136"/>
      <c r="BP48" s="135"/>
      <c r="BQ48" s="135"/>
      <c r="BR48" s="136"/>
      <c r="BS48" s="135"/>
      <c r="BT48" s="135"/>
      <c r="BU48" s="136"/>
      <c r="BV48" s="135"/>
      <c r="BW48" s="135"/>
      <c r="BX48" s="136"/>
      <c r="BY48" s="135"/>
      <c r="BZ48" s="135"/>
      <c r="CA48" s="136"/>
      <c r="CB48" s="135"/>
      <c r="CC48" s="135"/>
      <c r="CD48" s="136"/>
      <c r="CE48" s="135"/>
      <c r="CF48" s="135"/>
      <c r="CG48" s="136"/>
      <c r="CH48" s="135"/>
      <c r="CI48" s="135"/>
      <c r="CJ48" s="136"/>
      <c r="CK48" s="135"/>
      <c r="CL48" s="135"/>
      <c r="CM48" s="136"/>
      <c r="CN48" s="135"/>
      <c r="CO48" s="135"/>
      <c r="CP48" s="136"/>
      <c r="CQ48" s="135"/>
      <c r="CR48" s="135"/>
      <c r="CS48" s="136"/>
      <c r="CT48" s="135"/>
      <c r="CU48" s="135"/>
      <c r="CV48" s="136"/>
      <c r="CW48" s="135"/>
      <c r="CX48" s="135"/>
      <c r="CY48" s="136"/>
      <c r="CZ48" s="135"/>
      <c r="DA48" s="135"/>
      <c r="DB48" s="136"/>
      <c r="DC48" s="135"/>
      <c r="DD48" s="135"/>
      <c r="DE48" s="136"/>
      <c r="DF48" s="135"/>
      <c r="DG48" s="135"/>
      <c r="DH48" s="136"/>
      <c r="DI48" s="135"/>
      <c r="DJ48" s="135"/>
      <c r="DK48" s="136"/>
      <c r="DL48" s="135"/>
      <c r="DM48" s="135"/>
      <c r="DN48" s="136"/>
      <c r="DO48" s="135"/>
      <c r="DP48" s="135"/>
      <c r="DQ48" s="136"/>
      <c r="DR48" s="135"/>
      <c r="DS48" s="135"/>
      <c r="DT48" s="136"/>
      <c r="DU48" s="135"/>
      <c r="DV48" s="135"/>
      <c r="DW48" s="136"/>
      <c r="DX48" s="135"/>
      <c r="DY48" s="135"/>
      <c r="DZ48" s="136"/>
      <c r="EA48" s="135"/>
      <c r="EB48" s="135"/>
      <c r="EC48" s="136"/>
      <c r="ED48" s="135"/>
      <c r="EE48" s="135"/>
      <c r="EF48" s="136"/>
      <c r="EG48" s="135"/>
      <c r="EH48" s="135"/>
      <c r="EI48" s="136"/>
      <c r="EJ48" s="135"/>
      <c r="EK48" s="135"/>
      <c r="EL48" s="136"/>
      <c r="EM48" s="135"/>
      <c r="EN48" s="135"/>
      <c r="EO48" s="136"/>
    </row>
    <row r="49" spans="2:145" ht="11.25" customHeight="1" x14ac:dyDescent="0.2">
      <c r="B49" s="84" t="s">
        <v>960</v>
      </c>
      <c r="C49" s="125" t="str">
        <f>IF(('Coopa del Mondo 2014'!F54=""), "",'Coopa del Mondo 2014'!F54)</f>
        <v/>
      </c>
      <c r="D49" s="125" t="str">
        <f>IF(('Coopa del Mondo 2014'!G54=""), "",'Coopa del Mondo 2014'!G54)</f>
        <v/>
      </c>
      <c r="E49" s="87" t="s">
        <v>2157</v>
      </c>
      <c r="G49">
        <f>IF(ISBLANK('Coopa del Mondo 2014'!F54),0,1)</f>
        <v>0</v>
      </c>
      <c r="H49" s="132">
        <v>1</v>
      </c>
      <c r="I49" s="132">
        <v>3</v>
      </c>
      <c r="J49" s="126" t="str">
        <f t="shared" si="0"/>
        <v/>
      </c>
      <c r="K49" s="132">
        <v>0</v>
      </c>
      <c r="L49" s="132">
        <v>0</v>
      </c>
      <c r="M49" s="126" t="str">
        <f t="shared" si="1"/>
        <v/>
      </c>
      <c r="N49" s="132">
        <v>1</v>
      </c>
      <c r="O49" s="132">
        <v>1</v>
      </c>
      <c r="P49" s="126" t="str">
        <f t="shared" si="2"/>
        <v/>
      </c>
      <c r="Q49" s="132">
        <v>2</v>
      </c>
      <c r="R49" s="132">
        <v>2</v>
      </c>
      <c r="S49" s="126" t="str">
        <f t="shared" si="3"/>
        <v/>
      </c>
      <c r="T49" s="132">
        <v>1</v>
      </c>
      <c r="U49" s="132">
        <v>3</v>
      </c>
      <c r="V49" s="126" t="str">
        <f>IF($G49=1,(IF(AND($C49=$T49,$D49=$U49),3,(IF(AND($C49&gt;$D49,$T49&gt;$U49),1,(IF(AND($D49&gt;$C49,$U49&gt;$T49),1,(IF(AND($C49=$D49,$T49=$U49),1,0)))))))),"")</f>
        <v/>
      </c>
      <c r="W49" s="135"/>
      <c r="X49" s="135"/>
      <c r="Y49" s="136"/>
      <c r="Z49" s="135"/>
      <c r="AA49" s="135"/>
      <c r="AB49" s="136"/>
      <c r="AC49" s="135"/>
      <c r="AD49" s="135"/>
      <c r="AE49" s="136"/>
      <c r="AF49" s="135"/>
      <c r="AG49" s="135"/>
      <c r="AH49" s="136"/>
      <c r="AI49" s="135"/>
      <c r="AJ49" s="135"/>
      <c r="AK49" s="136"/>
      <c r="AL49" s="135"/>
      <c r="AM49" s="135"/>
      <c r="AN49" s="136"/>
      <c r="AO49" s="135"/>
      <c r="AP49" s="135"/>
      <c r="AQ49" s="136"/>
      <c r="AR49" s="135"/>
      <c r="AS49" s="135"/>
      <c r="AT49" s="136"/>
      <c r="AU49" s="135"/>
      <c r="AV49" s="135"/>
      <c r="AW49" s="136"/>
      <c r="AX49" s="135"/>
      <c r="AY49" s="135"/>
      <c r="AZ49" s="136"/>
      <c r="BA49" s="135"/>
      <c r="BB49" s="135"/>
      <c r="BC49" s="136"/>
      <c r="BD49" s="135"/>
      <c r="BE49" s="135"/>
      <c r="BF49" s="136"/>
      <c r="BG49" s="135"/>
      <c r="BH49" s="135"/>
      <c r="BI49" s="136"/>
      <c r="BJ49" s="135"/>
      <c r="BK49" s="135"/>
      <c r="BL49" s="136"/>
      <c r="BM49" s="135"/>
      <c r="BN49" s="135"/>
      <c r="BO49" s="136"/>
      <c r="BP49" s="135"/>
      <c r="BQ49" s="135"/>
      <c r="BR49" s="136"/>
      <c r="BS49" s="135"/>
      <c r="BT49" s="135"/>
      <c r="BU49" s="136"/>
      <c r="BV49" s="135"/>
      <c r="BW49" s="135"/>
      <c r="BX49" s="136"/>
      <c r="BY49" s="135"/>
      <c r="BZ49" s="135"/>
      <c r="CA49" s="136"/>
      <c r="CB49" s="135"/>
      <c r="CC49" s="135"/>
      <c r="CD49" s="136"/>
      <c r="CE49" s="135"/>
      <c r="CF49" s="135"/>
      <c r="CG49" s="136"/>
      <c r="CH49" s="135"/>
      <c r="CI49" s="135"/>
      <c r="CJ49" s="136"/>
      <c r="CK49" s="135"/>
      <c r="CL49" s="135"/>
      <c r="CM49" s="136"/>
      <c r="CN49" s="135"/>
      <c r="CO49" s="135"/>
      <c r="CP49" s="136"/>
      <c r="CQ49" s="135"/>
      <c r="CR49" s="135"/>
      <c r="CS49" s="136"/>
      <c r="CT49" s="135"/>
      <c r="CU49" s="135"/>
      <c r="CV49" s="136"/>
      <c r="CW49" s="135"/>
      <c r="CX49" s="135"/>
      <c r="CY49" s="136"/>
      <c r="CZ49" s="135"/>
      <c r="DA49" s="135"/>
      <c r="DB49" s="136"/>
      <c r="DC49" s="135"/>
      <c r="DD49" s="135"/>
      <c r="DE49" s="136"/>
      <c r="DF49" s="135"/>
      <c r="DG49" s="135"/>
      <c r="DH49" s="136"/>
      <c r="DI49" s="135"/>
      <c r="DJ49" s="135"/>
      <c r="DK49" s="136"/>
      <c r="DL49" s="135"/>
      <c r="DM49" s="135"/>
      <c r="DN49" s="136"/>
      <c r="DO49" s="135"/>
      <c r="DP49" s="135"/>
      <c r="DQ49" s="136"/>
      <c r="DR49" s="135"/>
      <c r="DS49" s="135"/>
      <c r="DT49" s="136"/>
      <c r="DU49" s="135"/>
      <c r="DV49" s="135"/>
      <c r="DW49" s="136"/>
      <c r="DX49" s="135"/>
      <c r="DY49" s="135"/>
      <c r="DZ49" s="136"/>
      <c r="EA49" s="135"/>
      <c r="EB49" s="135"/>
      <c r="EC49" s="136"/>
      <c r="ED49" s="135"/>
      <c r="EE49" s="135"/>
      <c r="EF49" s="136"/>
      <c r="EG49" s="135"/>
      <c r="EH49" s="135"/>
      <c r="EI49" s="136"/>
      <c r="EJ49" s="135"/>
      <c r="EK49" s="135"/>
      <c r="EL49" s="136"/>
      <c r="EM49" s="135"/>
      <c r="EN49" s="135"/>
      <c r="EO49" s="136"/>
    </row>
    <row r="50" spans="2:145" ht="11.25" customHeight="1" x14ac:dyDescent="0.2"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7"/>
      <c r="BD50" s="137"/>
      <c r="BE50" s="137"/>
      <c r="BF50" s="137"/>
      <c r="BG50" s="137"/>
      <c r="BH50" s="137"/>
      <c r="BI50" s="137"/>
      <c r="BJ50" s="137"/>
      <c r="BK50" s="137"/>
      <c r="BL50" s="137"/>
      <c r="BM50" s="137"/>
      <c r="BN50" s="137"/>
      <c r="BO50" s="137"/>
      <c r="BP50" s="137"/>
      <c r="BQ50" s="137"/>
      <c r="BR50" s="137"/>
      <c r="BS50" s="137"/>
      <c r="BT50" s="137"/>
      <c r="BU50" s="137"/>
      <c r="BV50" s="137"/>
      <c r="BW50" s="137"/>
      <c r="BX50" s="137"/>
      <c r="BY50" s="137"/>
      <c r="BZ50" s="137"/>
      <c r="CA50" s="137"/>
      <c r="CB50" s="137"/>
      <c r="CC50" s="137"/>
      <c r="CD50" s="137"/>
      <c r="CE50" s="137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37"/>
      <c r="CY50" s="137"/>
      <c r="CZ50" s="137"/>
      <c r="DA50" s="137"/>
      <c r="DB50" s="137"/>
      <c r="DC50" s="137"/>
      <c r="DD50" s="137"/>
      <c r="DE50" s="137"/>
      <c r="DF50" s="137"/>
      <c r="DG50" s="137"/>
      <c r="DH50" s="137"/>
      <c r="DI50" s="137"/>
      <c r="DJ50" s="137"/>
      <c r="DK50" s="137"/>
      <c r="DL50" s="137"/>
      <c r="DM50" s="137"/>
      <c r="DN50" s="137"/>
      <c r="DO50" s="137"/>
      <c r="DP50" s="137"/>
      <c r="DQ50" s="137"/>
      <c r="DR50" s="137"/>
      <c r="DS50" s="137"/>
      <c r="DT50" s="137"/>
      <c r="DU50" s="137"/>
      <c r="DV50" s="137"/>
      <c r="DW50" s="137"/>
      <c r="DX50" s="137"/>
      <c r="DY50" s="137"/>
      <c r="DZ50" s="137"/>
      <c r="EA50" s="137"/>
      <c r="EB50" s="137"/>
      <c r="EC50" s="137"/>
      <c r="ED50" s="137"/>
      <c r="EE50" s="137"/>
      <c r="EF50" s="137"/>
      <c r="EG50" s="137"/>
      <c r="EH50" s="137"/>
      <c r="EI50" s="137"/>
      <c r="EJ50" s="137"/>
      <c r="EK50" s="137"/>
      <c r="EL50" s="137"/>
      <c r="EM50" s="137"/>
      <c r="EN50" s="137"/>
      <c r="EO50" s="137"/>
    </row>
    <row r="51" spans="2:145" ht="11.25" customHeight="1" x14ac:dyDescent="0.2">
      <c r="E51" s="127" t="s">
        <v>2705</v>
      </c>
      <c r="J51">
        <f>SUM(J2:J49)</f>
        <v>7</v>
      </c>
      <c r="M51">
        <f>SUM(M2:M49)</f>
        <v>7</v>
      </c>
      <c r="P51">
        <f>SUM(P2:P49)</f>
        <v>7</v>
      </c>
      <c r="S51">
        <f>SUM(S2:S49)</f>
        <v>8</v>
      </c>
      <c r="V51">
        <f>SUM(V2:V49)</f>
        <v>12</v>
      </c>
      <c r="W51" s="137"/>
      <c r="X51" s="137"/>
      <c r="Y51" s="137"/>
      <c r="Z51" s="137"/>
      <c r="AA51" s="137"/>
      <c r="AB51" s="137"/>
      <c r="AC51" s="137"/>
      <c r="AD51" s="137"/>
      <c r="AE51" s="137"/>
      <c r="AF51" s="137"/>
      <c r="AG51" s="137"/>
      <c r="AH51" s="137"/>
      <c r="AI51" s="137"/>
      <c r="AJ51" s="137"/>
      <c r="AK51" s="137"/>
      <c r="AL51" s="137"/>
      <c r="AM51" s="137"/>
      <c r="AN51" s="137"/>
      <c r="AO51" s="137"/>
      <c r="AP51" s="137"/>
      <c r="AQ51" s="137"/>
      <c r="AR51" s="137"/>
      <c r="AS51" s="137"/>
      <c r="AT51" s="137"/>
      <c r="AU51" s="137"/>
      <c r="AV51" s="137"/>
      <c r="AW51" s="137"/>
      <c r="AX51" s="137"/>
      <c r="AY51" s="137"/>
      <c r="AZ51" s="137"/>
      <c r="BA51" s="137"/>
      <c r="BB51" s="137"/>
      <c r="BC51" s="137"/>
      <c r="BD51" s="137"/>
      <c r="BE51" s="137"/>
      <c r="BF51" s="137"/>
      <c r="BG51" s="137"/>
      <c r="BH51" s="137"/>
      <c r="BI51" s="137"/>
      <c r="BJ51" s="137"/>
      <c r="BK51" s="137"/>
      <c r="BL51" s="137"/>
      <c r="BM51" s="137"/>
      <c r="BN51" s="137"/>
      <c r="BO51" s="137"/>
      <c r="BP51" s="137"/>
      <c r="BQ51" s="137"/>
      <c r="BR51" s="137"/>
      <c r="BS51" s="137"/>
      <c r="BT51" s="137"/>
      <c r="BU51" s="137"/>
      <c r="BV51" s="137"/>
      <c r="BW51" s="137"/>
      <c r="BX51" s="137"/>
      <c r="BY51" s="137"/>
      <c r="BZ51" s="137"/>
      <c r="CA51" s="137"/>
      <c r="CB51" s="137"/>
      <c r="CC51" s="137"/>
      <c r="CD51" s="137"/>
      <c r="CE51" s="137"/>
      <c r="CF51" s="137"/>
      <c r="CG51" s="137"/>
      <c r="CH51" s="137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37"/>
      <c r="CY51" s="137"/>
      <c r="CZ51" s="137"/>
      <c r="DA51" s="137"/>
      <c r="DB51" s="137"/>
      <c r="DC51" s="137"/>
      <c r="DD51" s="137"/>
      <c r="DE51" s="137"/>
      <c r="DF51" s="137"/>
      <c r="DG51" s="137"/>
      <c r="DH51" s="137"/>
      <c r="DI51" s="137"/>
      <c r="DJ51" s="137"/>
      <c r="DK51" s="137"/>
      <c r="DL51" s="137"/>
      <c r="DM51" s="137"/>
      <c r="DN51" s="137"/>
      <c r="DO51" s="137"/>
      <c r="DP51" s="137"/>
      <c r="DQ51" s="137"/>
      <c r="DR51" s="137"/>
      <c r="DS51" s="137"/>
      <c r="DT51" s="137"/>
      <c r="DU51" s="137"/>
      <c r="DV51" s="137"/>
      <c r="DW51" s="137"/>
      <c r="DX51" s="137"/>
      <c r="DY51" s="137"/>
      <c r="DZ51" s="137"/>
      <c r="EA51" s="137"/>
      <c r="EB51" s="137"/>
      <c r="EC51" s="137"/>
      <c r="ED51" s="137"/>
      <c r="EE51" s="137"/>
      <c r="EF51" s="137"/>
      <c r="EG51" s="137"/>
      <c r="EH51" s="137"/>
      <c r="EI51" s="137"/>
      <c r="EJ51" s="137"/>
      <c r="EK51" s="137"/>
      <c r="EL51" s="137"/>
      <c r="EM51" s="137"/>
      <c r="EN51" s="137"/>
      <c r="EO51" s="137"/>
    </row>
    <row r="52" spans="2:145" ht="11.25" customHeight="1" x14ac:dyDescent="0.2"/>
  </sheetData>
  <sheetProtection password="E8D2" sheet="1" objects="1" scenarios="1"/>
  <mergeCells count="46">
    <mergeCell ref="EG1:EH1"/>
    <mergeCell ref="EJ1:EK1"/>
    <mergeCell ref="EM1:EN1"/>
    <mergeCell ref="DR1:DS1"/>
    <mergeCell ref="DU1:DV1"/>
    <mergeCell ref="DX1:DY1"/>
    <mergeCell ref="EA1:EB1"/>
    <mergeCell ref="ED1:EE1"/>
    <mergeCell ref="DC1:DD1"/>
    <mergeCell ref="DF1:DG1"/>
    <mergeCell ref="DI1:DJ1"/>
    <mergeCell ref="DL1:DM1"/>
    <mergeCell ref="DO1:DP1"/>
    <mergeCell ref="CN1:CO1"/>
    <mergeCell ref="CQ1:CR1"/>
    <mergeCell ref="CT1:CU1"/>
    <mergeCell ref="CW1:CX1"/>
    <mergeCell ref="CZ1:DA1"/>
    <mergeCell ref="BY1:BZ1"/>
    <mergeCell ref="CB1:CC1"/>
    <mergeCell ref="CE1:CF1"/>
    <mergeCell ref="CH1:CI1"/>
    <mergeCell ref="CK1:CL1"/>
    <mergeCell ref="BJ1:BK1"/>
    <mergeCell ref="BM1:BN1"/>
    <mergeCell ref="BP1:BQ1"/>
    <mergeCell ref="BS1:BT1"/>
    <mergeCell ref="BV1:BW1"/>
    <mergeCell ref="H1:I1"/>
    <mergeCell ref="K1:L1"/>
    <mergeCell ref="N1:O1"/>
    <mergeCell ref="Q1:R1"/>
    <mergeCell ref="T1:U1"/>
    <mergeCell ref="W1:X1"/>
    <mergeCell ref="BG1:BH1"/>
    <mergeCell ref="Z1:AA1"/>
    <mergeCell ref="AC1:AD1"/>
    <mergeCell ref="AF1:AG1"/>
    <mergeCell ref="AI1:AJ1"/>
    <mergeCell ref="AL1:AM1"/>
    <mergeCell ref="AO1:AP1"/>
    <mergeCell ref="AR1:AS1"/>
    <mergeCell ref="AU1:AV1"/>
    <mergeCell ref="AX1:AY1"/>
    <mergeCell ref="BA1:BB1"/>
    <mergeCell ref="BD1:BE1"/>
  </mergeCells>
  <conditionalFormatting sqref="B4:B49">
    <cfRule type="expression" dxfId="11" priority="14" stopIfTrue="1">
      <formula>IF(AND($F4&gt;$G4,ISNUMBER($F4),ISNUMBER($G4)),1,0)</formula>
    </cfRule>
    <cfRule type="expression" dxfId="10" priority="15" stopIfTrue="1">
      <formula>IF(AND($F4&lt;$G4,ISNUMBER($F4),ISNUMBER($G4)),1,0)</formula>
    </cfRule>
    <cfRule type="expression" dxfId="9" priority="16" stopIfTrue="1">
      <formula>IF(AND($F4=$G4,ISNUMBER($F4),ISNUMBER($G4)),1,0)</formula>
    </cfRule>
  </conditionalFormatting>
  <conditionalFormatting sqref="B2:B3">
    <cfRule type="expression" dxfId="8" priority="11" stopIfTrue="1">
      <formula>IF(AND($F2&gt;$G2,ISNUMBER($F2),ISNUMBER($G2)),1,0)</formula>
    </cfRule>
    <cfRule type="expression" dxfId="7" priority="12" stopIfTrue="1">
      <formula>IF(AND($F2&lt;$G2,ISNUMBER($F2),ISNUMBER($G2)),1,0)</formula>
    </cfRule>
    <cfRule type="expression" dxfId="6" priority="13" stopIfTrue="1">
      <formula>IF(AND($F2=$G2,ISNUMBER($F2),ISNUMBER($G2)),1,0)</formula>
    </cfRule>
  </conditionalFormatting>
  <conditionalFormatting sqref="E2:E49">
    <cfRule type="expression" dxfId="5" priority="8" stopIfTrue="1">
      <formula>IF(AND($F2&lt;$G2,ISNUMBER($F2),ISNUMBER($G2)),1,0)</formula>
    </cfRule>
    <cfRule type="expression" dxfId="4" priority="9" stopIfTrue="1">
      <formula>IF(AND($F2&gt;$G2,ISNUMBER($F2),ISNUMBER($G2)),1,0)</formula>
    </cfRule>
    <cfRule type="expression" dxfId="3" priority="10" stopIfTrue="1">
      <formula>IF(AND($F2=$G2,ISNUMBER($F2),ISNUMBER($G2)),1,0)</formula>
    </cfRule>
  </conditionalFormatting>
  <conditionalFormatting sqref="E51">
    <cfRule type="expression" dxfId="2" priority="102" stopIfTrue="1">
      <formula>IF(#REF!=CONCATENATE($I51,"_draw"),1,0)</formula>
    </cfRule>
    <cfRule type="expression" dxfId="1" priority="103" stopIfTrue="1">
      <formula>IF(#REF!=CONCATENATE($I51,"_win"),1,0)</formula>
    </cfRule>
    <cfRule type="expression" dxfId="0" priority="104" stopIfTrue="1">
      <formula>IF(#REF!=CONCATENATE($I51,"_lose"),1,0)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N38"/>
  <sheetViews>
    <sheetView workbookViewId="0">
      <selection activeCell="C2" sqref="C2"/>
    </sheetView>
  </sheetViews>
  <sheetFormatPr defaultRowHeight="12.75" x14ac:dyDescent="0.2"/>
  <cols>
    <col min="1" max="1" width="1.85546875" customWidth="1"/>
    <col min="2" max="2" width="18.28515625" style="129" customWidth="1"/>
    <col min="7" max="7" width="7.85546875" customWidth="1"/>
  </cols>
  <sheetData>
    <row r="1" spans="2:14" s="162" customFormat="1" ht="24.95" customHeight="1" x14ac:dyDescent="0.2">
      <c r="B1" s="161" t="str">
        <f>Pronostici!T1</f>
        <v>n-dru</v>
      </c>
      <c r="C1" s="162">
        <f>Pronostici!V51</f>
        <v>12</v>
      </c>
      <c r="G1" s="160"/>
      <c r="H1" s="160"/>
      <c r="I1" s="160"/>
      <c r="J1" s="160"/>
      <c r="K1" s="160"/>
      <c r="L1" s="160"/>
      <c r="M1" s="160"/>
      <c r="N1" s="160"/>
    </row>
    <row r="2" spans="2:14" s="162" customFormat="1" ht="24.95" customHeight="1" x14ac:dyDescent="0.2">
      <c r="B2" s="161" t="str">
        <f>Pronostici!Q1</f>
        <v>Toroseduto</v>
      </c>
      <c r="C2" s="162">
        <f>Pronostici!S51</f>
        <v>8</v>
      </c>
    </row>
    <row r="3" spans="2:14" s="162" customFormat="1" ht="24.95" customHeight="1" x14ac:dyDescent="0.2">
      <c r="B3" s="161" t="str">
        <f>Pronostici!H1</f>
        <v>AirDemis</v>
      </c>
      <c r="C3" s="162">
        <f>Pronostici!J51</f>
        <v>7</v>
      </c>
    </row>
    <row r="4" spans="2:14" s="162" customFormat="1" ht="24.95" customHeight="1" x14ac:dyDescent="0.2">
      <c r="B4" s="161" t="str">
        <f>Pronostici!N1</f>
        <v>Basile</v>
      </c>
      <c r="C4" s="162">
        <f>Pronostici!P51</f>
        <v>7</v>
      </c>
    </row>
    <row r="5" spans="2:14" s="162" customFormat="1" ht="24.95" customHeight="1" x14ac:dyDescent="0.2">
      <c r="B5" s="161" t="str">
        <f>Pronostici!K1</f>
        <v>Tritaz</v>
      </c>
      <c r="C5" s="162">
        <f>Pronostici!M51</f>
        <v>7</v>
      </c>
    </row>
    <row r="17" spans="3:3" x14ac:dyDescent="0.2">
      <c r="C17" s="131"/>
    </row>
    <row r="38" spans="3:3" x14ac:dyDescent="0.2">
      <c r="C38" s="131"/>
    </row>
  </sheetData>
  <sortState ref="B1:C5">
    <sortCondition descending="1" ref="C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T</vt:lpstr>
      <vt:lpstr>Settings</vt:lpstr>
      <vt:lpstr>Coopa del Mondo 2014</vt:lpstr>
      <vt:lpstr>Pronostici</vt:lpstr>
      <vt:lpstr>Classifica</vt:lpstr>
      <vt:lpstr>db_fifarank</vt:lpstr>
      <vt:lpstr>gmt_delta</vt:lpstr>
      <vt:lpstr>itype</vt:lpstr>
      <vt:lpstr>lang</vt:lpstr>
      <vt:lpstr>lang_list</vt:lpstr>
      <vt:lpstr>'Coopa del Mondo 2014'!Print_Area</vt:lpstr>
      <vt:lpstr>T</vt:lpstr>
    </vt:vector>
  </TitlesOfParts>
  <Company>Excely.com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World Cup 2010 Schedule</dc:title>
  <dc:creator>Denis Kozyr</dc:creator>
  <cp:lastModifiedBy>Central Bank of Malta</cp:lastModifiedBy>
  <cp:lastPrinted>2010-05-26T20:03:51Z</cp:lastPrinted>
  <dcterms:created xsi:type="dcterms:W3CDTF">2008-09-24T12:14:29Z</dcterms:created>
  <dcterms:modified xsi:type="dcterms:W3CDTF">2014-06-17T06:13:47Z</dcterms:modified>
</cp:coreProperties>
</file>